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2"/>
  <workbookPr updateLinks="never" codeName="ThisWorkbook" hidePivotFieldList="1"/>
  <mc:AlternateContent xmlns:mc="http://schemas.openxmlformats.org/markup-compatibility/2006">
    <mc:Choice Requires="x15">
      <x15ac:absPath xmlns:x15ac="http://schemas.microsoft.com/office/spreadsheetml/2010/11/ac" url="https://heatonplanningltd.sharepoint.com/sites/Heaton/Resources/Ecology/Projects/Lea Castle Farm Appeal 2023/"/>
    </mc:Choice>
  </mc:AlternateContent>
  <xr:revisionPtr revIDLastSave="0" documentId="8_{01A8436E-1B16-4FB1-817D-9AC5520A4D19}" xr6:coauthVersionLast="47" xr6:coauthVersionMax="47" xr10:uidLastSave="{00000000-0000-0000-0000-000000000000}"/>
  <bookViews>
    <workbookView xWindow="-108" yWindow="-108" windowWidth="23256" windowHeight="12576" tabRatio="741" firstSheet="1" activeTab="1"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16" i="46" l="1"/>
  <c r="V16" i="46" s="1"/>
  <c r="W16" i="46" s="1"/>
  <c r="X16" i="46" s="1"/>
  <c r="R15" i="46"/>
  <c r="V15" i="46" s="1"/>
  <c r="W15" i="46" s="1"/>
  <c r="X15" i="46" s="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B65" i="57" l="1"/>
  <c r="S16" i="46"/>
  <c r="T16" i="46" s="1"/>
  <c r="W22" i="11"/>
  <c r="W21" i="11"/>
  <c r="S15" i="46"/>
  <c r="T15" i="46" s="1"/>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F7" i="22"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89" i="22" s="1"/>
  <c r="X16" i="11" l="1"/>
  <c r="AQ16" i="11" s="1"/>
  <c r="F27" i="22"/>
  <c r="F29" i="22"/>
  <c r="F94"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B14" i="32"/>
  <c r="A15" i="32"/>
  <c r="Q15" i="32" s="1"/>
  <c r="B15" i="32"/>
  <c r="I93" i="32"/>
  <c r="J93" i="32"/>
  <c r="L93" i="32"/>
  <c r="F93" i="32"/>
  <c r="AM93" i="32" s="1"/>
  <c r="N93" i="32"/>
  <c r="K93" i="32"/>
  <c r="H93" i="32"/>
  <c r="G93" i="32"/>
  <c r="M93" i="32"/>
  <c r="O93" i="32"/>
  <c r="F13" i="32"/>
  <c r="N13" i="32"/>
  <c r="L14" i="32"/>
  <c r="J15" i="32"/>
  <c r="G13" i="32"/>
  <c r="O13" i="32"/>
  <c r="M14" i="32"/>
  <c r="K15" i="32"/>
  <c r="H13" i="32"/>
  <c r="F14" i="32"/>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M14" i="32" l="1"/>
  <c r="AB166" i="57"/>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M13" i="32" l="1"/>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X21" i="11" s="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D24" i="36" l="1"/>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<sst xmlns="http://schemas.openxmlformats.org/spreadsheetml/2006/main" count="6975" uniqueCount="1572">
  <si>
    <t>Project details</t>
  </si>
  <si>
    <t>Planning authority:</t>
  </si>
  <si>
    <t>Project name:</t>
  </si>
  <si>
    <t>Lea Castle Farm</t>
  </si>
  <si>
    <t>Applicant:</t>
  </si>
  <si>
    <t>Application type:</t>
  </si>
  <si>
    <t>Planning application reference:</t>
  </si>
  <si>
    <t>Assessor:</t>
  </si>
  <si>
    <t>J. L. Walsh</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</si>
  <si>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</si>
  <si>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</si>
  <si>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</si>
  <si>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</si>
  <si>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</si>
  <si>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</si>
  <si>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</si>
  <si>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</si>
  <si>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</si>
  <si>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</si>
  <si>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</si>
  <si>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</si>
  <si>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</si>
  <si>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</si>
  <si>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</si>
  <si>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</si>
  <si>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</si>
  <si>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</si>
  <si>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</si>
  <si>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</si>
  <si>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</si>
  <si>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</si>
  <si>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</si>
  <si>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</si>
  <si>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</si>
  <si>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</si>
  <si>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</si>
  <si>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</si>
  <si>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</si>
  <si>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</si>
  <si>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</si>
  <si>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</si>
  <si>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</si>
  <si>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</si>
  <si>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</si>
  <si>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</si>
  <si>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</si>
  <si>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</si>
  <si>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</si>
  <si>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</si>
  <si>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</si>
  <si>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</si>
  <si>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</si>
  <si>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</si>
  <si>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</si>
  <si>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</si>
  <si>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</si>
  <si>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</si>
  <si>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</si>
  <si>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</si>
  <si>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</si>
  <si>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</si>
  <si>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</si>
  <si>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</si>
  <si>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</si>
  <si>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</si>
  <si>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</si>
  <si>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</si>
  <si>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</si>
  <si>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</si>
  <si>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</si>
  <si>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</si>
  <si>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</si>
  <si>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</si>
  <si>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</si>
  <si>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</si>
  <si>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</si>
  <si>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</si>
  <si>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</si>
  <si>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</si>
  <si>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</si>
  <si>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</si>
  <si>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</si>
  <si>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</si>
  <si>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</si>
  <si>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</si>
  <si>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</si>
  <si>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</si>
  <si>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</si>
  <si>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</si>
  <si>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</si>
  <si>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</si>
  <si>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</si>
  <si>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</si>
  <si>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</si>
  <si>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</si>
  <si>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</si>
  <si>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</si>
  <si>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</si>
  <si>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</si>
  <si>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</si>
  <si>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</si>
  <si>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</si>
  <si>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</si>
  <si>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</si>
  <si>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</si>
  <si>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</si>
  <si>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</si>
  <si>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</si>
  <si>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</si>
  <si>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</si>
  <si>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</si>
  <si>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</si>
  <si>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</si>
  <si>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</si>
  <si>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</si>
  <si>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</si>
  <si>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</si>
  <si>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</si>
  <si>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</si>
  <si>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</si>
  <si>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</si>
  <si>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</si>
  <si>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</si>
  <si>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</si>
  <si>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</si>
  <si>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</si>
  <si>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</si>
  <si>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</si>
  <si>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</si>
  <si>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</si>
  <si>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</si>
  <si>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</si>
  <si>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</si>
  <si>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</si>
  <si>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</si>
  <si>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</si>
  <si>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</si>
  <si>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</si>
  <si>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</si>
  <si>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</si>
  <si>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</si>
  <si>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</si>
  <si>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</si>
  <si>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</si>
  <si>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</si>
  <si>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</si>
  <si>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</si>
  <si>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</si>
  <si>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</si>
  <si>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</si>
  <si>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</si>
  <si>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</si>
  <si>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</si>
  <si>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</si>
  <si>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</si>
  <si>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</si>
  <si>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</si>
  <si>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</si>
  <si>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</si>
  <si>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</si>
  <si>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</si>
  <si>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</si>
  <si>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</si>
  <si>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</si>
  <si>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</si>
  <si>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</si>
  <si>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</si>
  <si>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</si>
  <si>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</si>
  <si>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</si>
  <si>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</si>
  <si>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</si>
  <si>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</si>
  <si>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</si>
  <si>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</si>
  <si>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</si>
  <si>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</si>
  <si>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</si>
  <si>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</si>
  <si>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</si>
  <si>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</si>
  <si>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</si>
  <si>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</si>
  <si>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</si>
  <si>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</si>
  <si>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</si>
  <si>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</si>
  <si>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</si>
  <si>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</si>
  <si>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</si>
  <si>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</si>
  <si>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</si>
  <si>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</si>
  <si>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</si>
  <si>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</si>
  <si>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</si>
  <si>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</si>
  <si>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</si>
  <si>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</si>
  <si>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</si>
  <si>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</si>
  <si>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</si>
  <si>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</si>
  <si>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</si>
  <si>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</si>
  <si>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</si>
  <si>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</si>
  <si>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</si>
  <si>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</si>
  <si>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</si>
  <si>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</si>
  <si>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</si>
  <si>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</si>
  <si>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</si>
  <si>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</si>
  <si>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</si>
  <si>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</si>
  <si>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</si>
  <si>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</si>
  <si>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</si>
  <si>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</si>
  <si>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</si>
  <si>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</si>
  <si>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</si>
  <si>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</si>
  <si>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Other woodland; broadleaved</t>
  </si>
  <si>
    <t>Fairly Good</t>
  </si>
  <si>
    <t>Location ecologically desirable but not in local strategy</t>
  </si>
  <si>
    <t xml:space="preserve">Broadleaved woodland </t>
  </si>
  <si>
    <t xml:space="preserve">Mixed woodland </t>
  </si>
  <si>
    <t>Bramble scrub</t>
  </si>
  <si>
    <t>Condition Assessment N/A</t>
  </si>
  <si>
    <t>Area/compensation not in local strategy/ no local strategy</t>
  </si>
  <si>
    <t xml:space="preserve">Dense scrub </t>
  </si>
  <si>
    <t>Arable field margins tussocky</t>
  </si>
  <si>
    <t xml:space="preserve">Arable Field Margisn </t>
  </si>
  <si>
    <t>Modified grassland</t>
  </si>
  <si>
    <t>Poor</t>
  </si>
  <si>
    <t xml:space="preserve">Improved Grassland </t>
  </si>
  <si>
    <t>Bracken</t>
  </si>
  <si>
    <t xml:space="preserve">Bracken </t>
  </si>
  <si>
    <t>Ruderal/Ephemeral</t>
  </si>
  <si>
    <t xml:space="preserve">Tall Ruderal </t>
  </si>
  <si>
    <t>Cereal crops winter stubble</t>
  </si>
  <si>
    <t xml:space="preserve">Arable Land </t>
  </si>
  <si>
    <t>Vacant/derelict land/ bareground</t>
  </si>
  <si>
    <t xml:space="preserve">Bare Ground </t>
  </si>
  <si>
    <t>Developed land; sealed surface</t>
  </si>
  <si>
    <t>N/A - Other</t>
  </si>
  <si>
    <t xml:space="preserve">Hard Standing </t>
  </si>
  <si>
    <t>Urban Tree</t>
  </si>
  <si>
    <t xml:space="preserve">Trees with BRS </t>
  </si>
  <si>
    <t xml:space="preserve">Trees withoit BRS </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</si>
  <si>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</si>
  <si>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</si>
  <si>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</si>
  <si>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</si>
  <si>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</si>
  <si>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</si>
  <si>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</si>
  <si>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</si>
  <si>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</si>
  <si>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</si>
  <si>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</si>
  <si>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</si>
  <si>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</si>
  <si>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</si>
  <si>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</si>
  <si>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</si>
  <si>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</si>
  <si>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</si>
  <si>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</si>
  <si>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Wood-pasture and parkland</t>
  </si>
  <si>
    <t>Lowland dry acid grassland</t>
  </si>
  <si>
    <t>Ponds (Priority Habitat)</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</si>
  <si>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</si>
  <si>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</si>
  <si>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</si>
  <si>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</si>
  <si>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</si>
  <si>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</si>
  <si>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</si>
  <si>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</si>
  <si>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</si>
  <si>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</si>
  <si>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</si>
  <si>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</si>
  <si>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</si>
  <si>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</si>
  <si>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</si>
  <si>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</si>
  <si>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</si>
  <si>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</si>
  <si>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</si>
  <si>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</si>
  <si>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</si>
  <si>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</si>
  <si>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</si>
  <si>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</si>
  <si>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</si>
  <si>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</si>
  <si>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</si>
  <si>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</si>
  <si>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</si>
  <si>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Other woodland; mixed</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</si>
  <si>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</si>
  <si>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</si>
  <si>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</si>
  <si>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</si>
  <si>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</si>
  <si>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</si>
  <si>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</si>
  <si>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</si>
  <si>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</si>
  <si>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</si>
  <si>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</si>
  <si>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</si>
  <si>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</si>
  <si>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</si>
  <si>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</si>
  <si>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</si>
  <si>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</si>
  <si>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</si>
  <si>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</si>
  <si>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</si>
  <si>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</si>
  <si>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</si>
  <si>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</si>
  <si>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</si>
  <si>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</si>
  <si>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</si>
  <si>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</si>
  <si>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</si>
  <si>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</si>
  <si>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</si>
  <si>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</si>
  <si>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</si>
  <si>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</si>
  <si>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</si>
  <si>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</si>
  <si>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</si>
  <si>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</si>
  <si>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</si>
  <si>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</si>
  <si>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</si>
  <si>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</si>
  <si>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</si>
  <si>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</si>
  <si>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</si>
  <si>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</si>
  <si>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</si>
  <si>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</si>
  <si>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</si>
  <si>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</si>
  <si>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</si>
  <si>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</si>
  <si>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</si>
  <si>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</si>
  <si>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</si>
  <si>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</si>
  <si>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</si>
  <si>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</si>
  <si>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</si>
  <si>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</si>
  <si>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</si>
  <si>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</si>
  <si>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</si>
  <si>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</si>
  <si>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</si>
  <si>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</si>
  <si>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</si>
  <si>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</si>
  <si>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</si>
  <si>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</si>
  <si>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</si>
  <si>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</si>
  <si>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</si>
  <si>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</si>
  <si>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</si>
  <si>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</si>
  <si>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</si>
  <si>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</si>
  <si>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</si>
  <si>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</si>
  <si>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</si>
  <si>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</si>
  <si>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</si>
  <si>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</si>
  <si>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</si>
  <si>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</si>
  <si>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</si>
  <si>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</si>
  <si>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</si>
  <si>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</si>
  <si>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</si>
  <si>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</si>
  <si>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</si>
  <si>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</si>
  <si>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</si>
  <si>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</si>
  <si>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</si>
  <si>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</si>
  <si>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</si>
  <si>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</si>
  <si>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</si>
  <si>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</si>
  <si>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</si>
  <si>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</si>
  <si>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</si>
  <si>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</si>
  <si>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</si>
  <si>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</si>
  <si>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</si>
  <si>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</si>
  <si>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</si>
  <si>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</si>
  <si>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No</t>
  </si>
  <si>
    <t>Arable field margins pollen &amp; nectar</t>
  </si>
  <si>
    <t>Cropland - Arable field margins pollen &amp; nectar</t>
  </si>
  <si>
    <t>c1a6</t>
  </si>
  <si>
    <t>Heathland_and_shrub</t>
  </si>
  <si>
    <t>Cropland - Arable field margins tussocky</t>
  </si>
  <si>
    <t>c1a</t>
  </si>
  <si>
    <t>c</t>
  </si>
  <si>
    <t>c1</t>
  </si>
  <si>
    <t>Fairly Poor</t>
  </si>
  <si>
    <t>Cereal crops</t>
  </si>
  <si>
    <t>Cropland - Cereal crops</t>
  </si>
  <si>
    <t>c1c</t>
  </si>
  <si>
    <t>V.Low</t>
  </si>
  <si>
    <t>Compensation Not Required</t>
  </si>
  <si>
    <t>Sparsely_vegetated_land</t>
  </si>
  <si>
    <t>Cropland - Cereal crops winter stubble</t>
  </si>
  <si>
    <t>c1c5</t>
  </si>
  <si>
    <t>Horticulture</t>
  </si>
  <si>
    <t>Cropland - Horticulture</t>
  </si>
  <si>
    <t>c1f</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</si>
  <si>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</si>
  <si>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</si>
  <si>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</si>
  <si>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</si>
  <si>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</si>
  <si>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</si>
  <si>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</si>
  <si>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</si>
  <si>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</si>
  <si>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</si>
  <si>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</si>
  <si>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</si>
  <si>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</si>
  <si>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</si>
  <si>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</si>
  <si>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</si>
  <si>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</si>
  <si>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</si>
  <si>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</si>
  <si>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</si>
  <si>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</si>
  <si>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</si>
  <si>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</si>
  <si>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</si>
  <si>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</si>
  <si>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</si>
  <si>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</si>
  <si>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</si>
  <si>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</si>
  <si>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Grassland - Lowland dry acid grassland</t>
  </si>
  <si>
    <t>g1a</t>
  </si>
  <si>
    <t>g</t>
  </si>
  <si>
    <t>g1</t>
  </si>
  <si>
    <t>Lowland meadows</t>
  </si>
  <si>
    <t>Grassland - Lowland meadows</t>
  </si>
  <si>
    <t>g3a</t>
  </si>
  <si>
    <t>g3</t>
  </si>
  <si>
    <t>Neutral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</si>
  <si>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</si>
  <si>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</si>
  <si>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</si>
  <si>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</si>
  <si>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</si>
  <si>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</si>
  <si>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</si>
  <si>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</si>
  <si>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</si>
  <si>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</si>
  <si>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</si>
  <si>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</si>
  <si>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</si>
  <si>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</si>
  <si>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</si>
  <si>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</si>
  <si>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</si>
  <si>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</si>
  <si>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</si>
  <si>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</si>
  <si>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</si>
  <si>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</si>
  <si>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</si>
  <si>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</si>
  <si>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</si>
  <si>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</si>
  <si>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</si>
  <si>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</si>
  <si>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</si>
  <si>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</si>
  <si>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</si>
  <si>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</si>
  <si>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</si>
  <si>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</si>
  <si>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</si>
  <si>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</si>
  <si>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</si>
  <si>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</si>
  <si>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</si>
  <si>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</si>
  <si>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</si>
  <si>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</si>
  <si>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</si>
  <si>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</si>
  <si>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</si>
  <si>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</si>
  <si>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</si>
  <si>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</si>
  <si>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</si>
  <si>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</si>
  <si>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</si>
  <si>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</si>
  <si>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</si>
  <si>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</si>
  <si>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</si>
  <si>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</si>
  <si>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</si>
  <si>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</si>
  <si>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</si>
  <si>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</si>
  <si>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</si>
  <si>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</si>
  <si>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</si>
  <si>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</si>
  <si>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</si>
  <si>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</si>
  <si>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</si>
  <si>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</si>
  <si>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</si>
  <si>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</si>
  <si>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</si>
  <si>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</si>
  <si>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</si>
  <si>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</si>
  <si>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</si>
  <si>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</si>
  <si>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</si>
  <si>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</si>
  <si>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</si>
  <si>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</si>
  <si>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</si>
  <si>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</si>
  <si>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</si>
  <si>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</si>
  <si>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</si>
  <si>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</si>
  <si>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</si>
  <si>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</si>
  <si>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</si>
  <si>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</si>
  <si>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</si>
  <si>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</si>
  <si>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</si>
  <si>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</si>
  <si>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</si>
  <si>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</si>
  <si>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</si>
  <si>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</si>
  <si>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</si>
  <si>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</si>
  <si>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</si>
  <si>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</si>
  <si>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</si>
  <si>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</si>
  <si>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</si>
  <si>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</si>
  <si>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</si>
  <si>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</si>
  <si>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</si>
  <si>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</si>
  <si>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</si>
  <si>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</si>
  <si>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</si>
  <si>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</si>
  <si>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</si>
  <si>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</si>
  <si>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</si>
  <si>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</si>
  <si>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</si>
  <si>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</si>
  <si>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</si>
  <si>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</si>
  <si>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</si>
  <si>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</si>
  <si>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</si>
  <si>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</si>
  <si>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</si>
  <si>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</si>
  <si>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</si>
  <si>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</si>
  <si>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</si>
  <si>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</si>
  <si>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</si>
  <si>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</si>
  <si>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</si>
  <si>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</si>
  <si>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</si>
  <si>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</si>
  <si>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</si>
  <si>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</si>
  <si>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</si>
  <si>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</si>
  <si>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</si>
  <si>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</si>
  <si>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</si>
  <si>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</si>
  <si>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</si>
  <si>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</si>
  <si>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</si>
  <si>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</si>
  <si>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</si>
  <si>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</si>
  <si>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</si>
  <si>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</si>
  <si>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</si>
  <si>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</si>
  <si>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</si>
  <si>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</si>
  <si>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</si>
  <si>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</si>
  <si>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</si>
  <si>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</si>
  <si>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</si>
  <si>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</si>
  <si>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</si>
  <si>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</si>
  <si>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</si>
  <si>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</si>
  <si>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</si>
  <si>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</si>
  <si>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</si>
  <si>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</si>
  <si>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</si>
  <si>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</si>
  <si>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 Urban Tree</t>
  </si>
  <si>
    <t>NE0014</t>
  </si>
  <si>
    <t>Street Tree</t>
  </si>
  <si>
    <t>Sustainable urban drainage feature</t>
  </si>
  <si>
    <t>Urban - Sustainable urban drainage feature</t>
  </si>
  <si>
    <t>Un-vegetated garden</t>
  </si>
  <si>
    <t>Urban - Un-vegetated garden</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</si>
  <si>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</si>
  <si>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</si>
  <si>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</si>
  <si>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</si>
  <si>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</si>
  <si>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</si>
  <si>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</si>
  <si>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</si>
  <si>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</si>
  <si>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</si>
  <si>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</si>
  <si>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</si>
  <si>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</si>
  <si>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</si>
  <si>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</si>
  <si>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</si>
  <si>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</si>
  <si>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</si>
  <si>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</si>
  <si>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</si>
  <si>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</si>
  <si>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</si>
  <si>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</si>
  <si>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</si>
  <si>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</si>
  <si>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</si>
  <si>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</si>
  <si>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</si>
  <si>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</si>
  <si>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</si>
  <si>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</si>
  <si>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</si>
  <si>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</si>
  <si>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</si>
  <si>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</si>
  <si>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</si>
  <si>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</si>
  <si>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</si>
  <si>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</si>
  <si>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</si>
  <si>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</si>
  <si>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</si>
  <si>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</si>
  <si>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</si>
  <si>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</si>
  <si>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</si>
  <si>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</si>
  <si>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</si>
  <si>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</si>
  <si>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</si>
  <si>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</si>
  <si>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</si>
  <si>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</si>
  <si>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</si>
  <si>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</si>
  <si>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Woodland and forest - Other woodland; broadleaved</t>
  </si>
  <si>
    <t>w1g</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</si>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</sst>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
    <numFmt numFmtId="166" formatCode="0.000"/>
    <numFmt numFmtId="167" formatCode="0.0000"/>
  </numFmts>
  <fonts count="55">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5"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5" fontId="32" fillId="13" borderId="5" xfId="0" applyNumberFormat="1" applyFont="1" applyFill="1" applyBorder="1" applyAlignment="1">
      <alignment horizontal="center" vertical="center"/>
    </xf>
    <xf numFmtId="165"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5"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6"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6"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6"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6"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7" fontId="21" fillId="22" borderId="5" xfId="0" applyNumberFormat="1" applyFont="1" applyFill="1" applyBorder="1" applyAlignment="1">
      <alignment horizontal="center" vertical="center" wrapText="1"/>
    </xf>
    <xf numFmtId="167"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6"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6"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7"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8.7129000000000012</c:v>
                </c:pt>
                <c:pt idx="1">
                  <c:v>1.22</c:v>
                </c:pt>
                <c:pt idx="2">
                  <c:v>36.918700000000001</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1.776</c:v>
                </c:pt>
                <c:pt idx="2">
                  <c:v>0.96</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2.7359999999999998</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4.3536193137312003</c:v>
                </c:pt>
                <c:pt idx="5">
                  <c:v>0</c:v>
                </c:pt>
                <c:pt idx="6">
                  <c:v>0</c:v>
                </c:pt>
                <c:pt idx="7">
                  <c:v>0</c:v>
                </c:pt>
                <c:pt idx="8">
                  <c:v>0</c:v>
                </c:pt>
                <c:pt idx="9">
                  <c:v>0</c:v>
                </c:pt>
                <c:pt idx="10">
                  <c:v>1.3239584874539998</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2.7359999999999998</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4.3536193137312003</c:v>
                </c:pt>
                <c:pt idx="5">
                  <c:v>0</c:v>
                </c:pt>
                <c:pt idx="6">
                  <c:v>0</c:v>
                </c:pt>
                <c:pt idx="7">
                  <c:v>0</c:v>
                </c:pt>
                <c:pt idx="8">
                  <c:v>0</c:v>
                </c:pt>
                <c:pt idx="9">
                  <c:v>0</c:v>
                </c:pt>
                <c:pt idx="10">
                  <c:v>1.3239584874539998</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4.3536193137312003</c:v>
                </c:pt>
                <c:pt idx="5">
                  <c:v>0</c:v>
                </c:pt>
                <c:pt idx="6">
                  <c:v>0</c:v>
                </c:pt>
                <c:pt idx="7">
                  <c:v>0</c:v>
                </c:pt>
                <c:pt idx="8">
                  <c:v>0</c:v>
                </c:pt>
                <c:pt idx="9">
                  <c:v>-2.7359999999999998</c:v>
                </c:pt>
                <c:pt idx="10">
                  <c:v>1.3239584874539998</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0.68399999999999994</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0.44400000000000001</c:v>
                </c:pt>
                <c:pt idx="5">
                  <c:v>0</c:v>
                </c:pt>
                <c:pt idx="6">
                  <c:v>0</c:v>
                </c:pt>
                <c:pt idx="7">
                  <c:v>0</c:v>
                </c:pt>
                <c:pt idx="8">
                  <c:v>0</c:v>
                </c:pt>
                <c:pt idx="9">
                  <c:v>0</c:v>
                </c:pt>
                <c:pt idx="10">
                  <c:v>0.69</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0.68399999999999994</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0.44400000000000001</c:v>
                </c:pt>
                <c:pt idx="5">
                  <c:v>0</c:v>
                </c:pt>
                <c:pt idx="6">
                  <c:v>0</c:v>
                </c:pt>
                <c:pt idx="7">
                  <c:v>0</c:v>
                </c:pt>
                <c:pt idx="8">
                  <c:v>0</c:v>
                </c:pt>
                <c:pt idx="9">
                  <c:v>0</c:v>
                </c:pt>
                <c:pt idx="10">
                  <c:v>0.69</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0.44400000000000001</c:v>
                </c:pt>
                <c:pt idx="5">
                  <c:v>0</c:v>
                </c:pt>
                <c:pt idx="6">
                  <c:v>0</c:v>
                </c:pt>
                <c:pt idx="7">
                  <c:v>0</c:v>
                </c:pt>
                <c:pt idx="8">
                  <c:v>0</c:v>
                </c:pt>
                <c:pt idx="9">
                  <c:v>-0.68399999999999994</c:v>
                </c:pt>
                <c:pt idx="10">
                  <c:v>0.69</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21.668479999999999</c:v>
                </c:pt>
                <c:pt idx="1">
                  <c:v>11.154000000000002</c:v>
                </c:pt>
                <c:pt idx="2">
                  <c:v>83.11084000000001</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40.47</c:v>
                </c:pt>
                <c:pt idx="1">
                  <c:v>2.88</c:v>
                </c:pt>
                <c:pt idx="2">
                  <c:v>0.2</c:v>
                </c:pt>
                <c:pt idx="3">
                  <c:v>0</c:v>
                </c:pt>
                <c:pt idx="4">
                  <c:v>0.46</c:v>
                </c:pt>
                <c:pt idx="5">
                  <c:v>1.6215999999999999</c:v>
                </c:pt>
                <c:pt idx="6">
                  <c:v>0</c:v>
                </c:pt>
                <c:pt idx="7">
                  <c:v>1.22</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7.7360000000000007</c:v>
                </c:pt>
                <c:pt idx="1">
                  <c:v>32.301000000000002</c:v>
                </c:pt>
                <c:pt idx="2">
                  <c:v>0</c:v>
                </c:pt>
                <c:pt idx="3">
                  <c:v>0.37</c:v>
                </c:pt>
                <c:pt idx="4">
                  <c:v>0</c:v>
                </c:pt>
                <c:pt idx="5">
                  <c:v>3.5196000000000001</c:v>
                </c:pt>
                <c:pt idx="6">
                  <c:v>0</c:v>
                </c:pt>
                <c:pt idx="7">
                  <c:v>5.18</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86.867999999999995</c:v>
                </c:pt>
                <c:pt idx="1">
                  <c:v>5.76</c:v>
                </c:pt>
                <c:pt idx="2">
                  <c:v>0.8</c:v>
                </c:pt>
                <c:pt idx="3">
                  <c:v>0</c:v>
                </c:pt>
                <c:pt idx="4">
                  <c:v>0.92</c:v>
                </c:pt>
                <c:pt idx="5">
                  <c:v>10.431319999999999</c:v>
                </c:pt>
                <c:pt idx="6">
                  <c:v>0</c:v>
                </c:pt>
                <c:pt idx="7">
                  <c:v>11.154000000000002</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15.8704</c:v>
                </c:pt>
                <c:pt idx="1">
                  <c:v>102.94539058250092</c:v>
                </c:pt>
                <c:pt idx="2">
                  <c:v>0</c:v>
                </c:pt>
                <c:pt idx="3">
                  <c:v>3.5619476891623023</c:v>
                </c:pt>
                <c:pt idx="4">
                  <c:v>0</c:v>
                </c:pt>
                <c:pt idx="5">
                  <c:v>14.774571815735271</c:v>
                </c:pt>
                <c:pt idx="6">
                  <c:v>0</c:v>
                </c:pt>
                <c:pt idx="7">
                  <c:v>24.359797980590603</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2.8097000000000003</c:v>
                </c:pt>
                <c:pt idx="3">
                  <c:v>34.069000000000003</c:v>
                </c:pt>
                <c:pt idx="4">
                  <c:v>0.04</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86.867999999999995</c:v>
                </c:pt>
                <c:pt idx="1">
                  <c:v>5.76</c:v>
                </c:pt>
                <c:pt idx="2">
                  <c:v>0.8</c:v>
                </c:pt>
                <c:pt idx="3">
                  <c:v>0</c:v>
                </c:pt>
                <c:pt idx="4">
                  <c:v>0.92</c:v>
                </c:pt>
                <c:pt idx="5">
                  <c:v>10.431319999999999</c:v>
                </c:pt>
                <c:pt idx="6">
                  <c:v>0</c:v>
                </c:pt>
                <c:pt idx="7">
                  <c:v>11.154000000000002</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15.8704</c:v>
                </c:pt>
                <c:pt idx="1">
                  <c:v>102.94539058250092</c:v>
                </c:pt>
                <c:pt idx="2">
                  <c:v>0</c:v>
                </c:pt>
                <c:pt idx="3">
                  <c:v>3.5619476891623023</c:v>
                </c:pt>
                <c:pt idx="4">
                  <c:v>0</c:v>
                </c:pt>
                <c:pt idx="5">
                  <c:v>14.774571815735271</c:v>
                </c:pt>
                <c:pt idx="6">
                  <c:v>0</c:v>
                </c:pt>
                <c:pt idx="7">
                  <c:v>24.359797980590603</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-70.997599999999991</c:v>
                </c:pt>
                <c:pt idx="1">
                  <c:v>97.185390582500915</c:v>
                </c:pt>
                <c:pt idx="2">
                  <c:v>-0.8</c:v>
                </c:pt>
                <c:pt idx="3">
                  <c:v>3.5619476891623023</c:v>
                </c:pt>
                <c:pt idx="4">
                  <c:v>-0.92</c:v>
                </c:pt>
                <c:pt idx="5">
                  <c:v>4.3432518157352717</c:v>
                </c:pt>
                <c:pt idx="6">
                  <c:v>0</c:v>
                </c:pt>
                <c:pt idx="7">
                  <c:v>13.205797980590601</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40.47</c:v>
                </c:pt>
                <c:pt idx="1">
                  <c:v>2.88</c:v>
                </c:pt>
                <c:pt idx="2">
                  <c:v>0.2</c:v>
                </c:pt>
                <c:pt idx="3">
                  <c:v>0</c:v>
                </c:pt>
                <c:pt idx="4">
                  <c:v>0.46</c:v>
                </c:pt>
                <c:pt idx="5">
                  <c:v>1.6215999999999999</c:v>
                </c:pt>
                <c:pt idx="6">
                  <c:v>0</c:v>
                </c:pt>
                <c:pt idx="7">
                  <c:v>1.22</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7.7360000000000007</c:v>
                </c:pt>
                <c:pt idx="1">
                  <c:v>32.301000000000002</c:v>
                </c:pt>
                <c:pt idx="2">
                  <c:v>0</c:v>
                </c:pt>
                <c:pt idx="3">
                  <c:v>0.37</c:v>
                </c:pt>
                <c:pt idx="4">
                  <c:v>0</c:v>
                </c:pt>
                <c:pt idx="5">
                  <c:v>3.5196000000000001</c:v>
                </c:pt>
                <c:pt idx="6">
                  <c:v>0</c:v>
                </c:pt>
                <c:pt idx="7">
                  <c:v>5.18</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-32.733999999999995</c:v>
                </c:pt>
                <c:pt idx="1">
                  <c:v>29.421000000000003</c:v>
                </c:pt>
                <c:pt idx="2">
                  <c:v>-0.2</c:v>
                </c:pt>
                <c:pt idx="3">
                  <c:v>0.37</c:v>
                </c:pt>
                <c:pt idx="4">
                  <c:v>-0.46</c:v>
                </c:pt>
                <c:pt idx="5">
                  <c:v>1.8980000000000001</c:v>
                </c:pt>
                <c:pt idx="6">
                  <c:v>0</c:v>
                </c:pt>
                <c:pt idx="7">
                  <c:v>3.96</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0.24</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0.44400000000000001</c:v>
                </c:pt>
                <c:pt idx="2">
                  <c:v>0.24</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37260"/>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74395"/>
          <a:ext cx="5469255" cy="76226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49655"/>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5273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795009" cy="75845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42509" cy="76035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5845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5654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276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66775"/>
          <a:ext cx="4621530" cy="7641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348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594360</xdr:colOff>
          <xdr:row>10</xdr:row>
          <xdr:rowOff>198120</xdr:rowOff>
        </xdr:from>
        <xdr:to>
          <xdr:col>14</xdr:col>
          <xdr:colOff>327660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1005840</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173234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440659</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742194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588522</xdr:colOff>
      <xdr:row>24</xdr:row>
      <xdr:rowOff>58511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551180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96215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551166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91465</xdr:colOff>
      <xdr:row>38</xdr:row>
      <xdr:rowOff>665874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550091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474980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478970</xdr:colOff>
      <xdr:row>8</xdr:row>
      <xdr:rowOff>21956</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56486"/>
          <a:ext cx="6845300" cy="724664"/>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row r="557"/>
    <row r="558"/>
    <row r="559"/>
    <row r="560"/>
    <row r="561"/>
    <row r="562"/>
    <row r="563"/>
    <row r="564"/>
    <row r="565"/>
    <row r="566"/>
    <row r="567"/>
    <row r="568"/>
    <row r="569"/>
    <row r="570"/>
    <row r="571"/>
    <row r="572"/>
    <row r="573"/>
    <row r="574"/>
    <row r="575"/>
    <row r="576"/>
    <row r="577"/>
    <row r="578"/>
    <row r="579"/>
    <row r="580"/>
    <row r="581"/>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pane="bottomLeft" activeCell="J20" sqref="J20"/>
      <selection activeCell="S28" sqref="S28"/>
    </sheetView>
  </sheetViews>
  <sheetFormatPr defaultColWidth="0" defaultRowHeight="13.9" zeroHeight="1"/>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4.45" thickBot="1"/>
    <row r="2" spans="1:34" ht="18.75" customHeight="1" thickBot="1">
      <c r="D2" s="896" t="str">
        <f>IF(Start!$F$12="","",Start!$F$12)</f>
        <v>Lea Castle Farm</v>
      </c>
      <c r="E2" s="898"/>
      <c r="P2" s="908" t="str">
        <f>IF(OR(COUNTIF($O$11:O256,"*30+*")&gt;0,COUNTIF($S$11:S256,"*30+*")&gt;0),"Note; Habitat selected has a time to target condition greater than 30 years. Non standard agreement may be required.","")</f>
        <v>Note; Habitat selected has a time to target condition greater than 30 years. Non standard agreement may be required.</v>
      </c>
      <c r="Q2" s="908"/>
      <c r="R2" s="908"/>
      <c r="S2" s="908"/>
    </row>
    <row r="3" spans="1:34" ht="24" customHeight="1" thickBot="1">
      <c r="D3" s="893" t="e">
        <f ca="1">MID(CELL("filename",D1),FIND("]",CELL("filename",D1))+1,256)</f>
        <v>#VALUE!</v>
      </c>
      <c r="E3" s="895"/>
      <c r="O3" s="400"/>
      <c r="P3" s="908"/>
      <c r="Q3" s="908"/>
      <c r="R3" s="908"/>
      <c r="S3" s="908"/>
      <c r="W3" s="907"/>
      <c r="X3" s="907"/>
      <c r="Y3" s="907"/>
      <c r="Z3" s="907"/>
    </row>
    <row r="4" spans="1:34" ht="12.6" customHeight="1">
      <c r="O4" s="400"/>
      <c r="P4" s="400"/>
      <c r="Q4" s="400"/>
      <c r="R4" s="400"/>
      <c r="W4" s="907"/>
      <c r="X4" s="907"/>
      <c r="Y4" s="907"/>
      <c r="Z4" s="907"/>
    </row>
    <row r="5" spans="1:34" ht="15.6" customHeight="1">
      <c r="M5" s="244"/>
      <c r="N5" s="234"/>
      <c r="O5" s="400"/>
      <c r="P5" s="909" t="str">
        <f>IFERROR(IF(OR((G259-'A-1 Site Habitat Baseline'!W261)&gt;0.01,(G259-'A-1 Site Habitat Baseline'!W261)&lt;-0.01),"Check Areas - Area cross check failed (Baseline habitat lost does not match development footprint plus area of new habitat creation)",""),"")</f>
        <v/>
      </c>
      <c r="Q5" s="909"/>
      <c r="R5" s="909"/>
      <c r="S5" s="909"/>
      <c r="W5" s="907"/>
      <c r="X5" s="907"/>
      <c r="Y5" s="907"/>
      <c r="Z5" s="907"/>
    </row>
    <row r="6" spans="1:34" ht="19.149999999999999" customHeight="1">
      <c r="O6" s="400"/>
      <c r="P6" s="909"/>
      <c r="Q6" s="909"/>
      <c r="R6" s="909"/>
      <c r="S6" s="909"/>
      <c r="W6" s="907"/>
      <c r="X6" s="907"/>
      <c r="Y6" s="907"/>
      <c r="Z6" s="907"/>
    </row>
    <row r="7" spans="1:34" ht="39" customHeight="1" thickBot="1">
      <c r="E7" s="50"/>
      <c r="P7" s="401"/>
      <c r="Q7" s="401"/>
      <c r="R7" s="401"/>
      <c r="S7" s="397"/>
      <c r="T7" s="397"/>
      <c r="U7" s="397"/>
      <c r="V7" s="397"/>
      <c r="W7" s="397"/>
    </row>
    <row r="8" spans="1:34" ht="14.45" thickBot="1">
      <c r="D8" s="917" t="s">
        <v>255</v>
      </c>
      <c r="E8" s="918"/>
      <c r="F8" s="918"/>
      <c r="G8" s="918"/>
      <c r="H8" s="918"/>
      <c r="I8" s="918"/>
      <c r="J8" s="918"/>
      <c r="K8" s="918"/>
      <c r="L8" s="918"/>
      <c r="M8" s="918"/>
      <c r="N8" s="918"/>
      <c r="O8" s="918"/>
      <c r="P8" s="918"/>
      <c r="Q8" s="918"/>
      <c r="R8" s="918"/>
      <c r="S8" s="918"/>
      <c r="T8" s="918"/>
      <c r="U8" s="918"/>
      <c r="V8" s="918"/>
      <c r="W8" s="918"/>
      <c r="X8" s="918"/>
      <c r="Y8" s="918"/>
      <c r="Z8" s="918"/>
      <c r="AA8" s="919"/>
      <c r="AE8" s="910" t="s">
        <v>256</v>
      </c>
    </row>
    <row r="9" spans="1:34" s="49" customFormat="1" ht="15" customHeight="1" thickBot="1">
      <c r="B9" s="47"/>
      <c r="D9" s="915" t="s">
        <v>204</v>
      </c>
      <c r="E9" s="911" t="s">
        <v>257</v>
      </c>
      <c r="F9" s="911" t="s">
        <v>257</v>
      </c>
      <c r="G9" s="913" t="s">
        <v>207</v>
      </c>
      <c r="H9" s="902" t="s">
        <v>191</v>
      </c>
      <c r="I9" s="903"/>
      <c r="J9" s="902" t="s">
        <v>192</v>
      </c>
      <c r="K9" s="903"/>
      <c r="L9" s="902" t="s">
        <v>193</v>
      </c>
      <c r="M9" s="904"/>
      <c r="N9" s="903"/>
      <c r="O9" s="902" t="s">
        <v>258</v>
      </c>
      <c r="P9" s="904"/>
      <c r="Q9" s="904"/>
      <c r="R9" s="904"/>
      <c r="S9" s="904"/>
      <c r="T9" s="903"/>
      <c r="U9" s="899" t="s">
        <v>259</v>
      </c>
      <c r="V9" s="900"/>
      <c r="W9" s="900"/>
      <c r="X9" s="901"/>
      <c r="Y9" s="905" t="s">
        <v>260</v>
      </c>
      <c r="Z9" s="902" t="s">
        <v>198</v>
      </c>
      <c r="AA9" s="903"/>
      <c r="AB9" s="47"/>
      <c r="AC9" s="47"/>
      <c r="AD9" s="47"/>
      <c r="AE9" s="910"/>
      <c r="AF9" s="47"/>
      <c r="AG9" s="47"/>
      <c r="AH9" s="47"/>
    </row>
    <row r="10" spans="1:34" ht="41.45">
      <c r="A10" s="55" t="s">
        <v>202</v>
      </c>
      <c r="D10" s="916"/>
      <c r="E10" s="912"/>
      <c r="F10" s="912"/>
      <c r="G10" s="914"/>
      <c r="H10" s="379" t="s">
        <v>191</v>
      </c>
      <c r="I10" s="380" t="s">
        <v>208</v>
      </c>
      <c r="J10" s="632" t="s">
        <v>192</v>
      </c>
      <c r="K10" s="381" t="s">
        <v>208</v>
      </c>
      <c r="L10" s="363" t="s">
        <v>193</v>
      </c>
      <c r="M10" s="77" t="s">
        <v>193</v>
      </c>
      <c r="N10" s="365" t="s">
        <v>261</v>
      </c>
      <c r="O10" s="363" t="s">
        <v>262</v>
      </c>
      <c r="P10" s="77" t="s">
        <v>263</v>
      </c>
      <c r="Q10" s="77" t="s">
        <v>264</v>
      </c>
      <c r="R10" s="77" t="s">
        <v>265</v>
      </c>
      <c r="S10" s="77" t="s">
        <v>266</v>
      </c>
      <c r="T10" s="365" t="s">
        <v>267</v>
      </c>
      <c r="U10" s="362" t="s">
        <v>268</v>
      </c>
      <c r="V10" s="366" t="s">
        <v>269</v>
      </c>
      <c r="W10" s="366" t="s">
        <v>270</v>
      </c>
      <c r="X10" s="364" t="s">
        <v>271</v>
      </c>
      <c r="Y10" s="920"/>
      <c r="Z10" s="363" t="s">
        <v>217</v>
      </c>
      <c r="AA10" s="365" t="s">
        <v>218</v>
      </c>
      <c r="AE10" s="47" t="s">
        <v>237</v>
      </c>
    </row>
    <row r="11" spans="1:34" ht="41.45">
      <c r="A11" s="47" t="str">
        <f>IFERROR(INDEX('G-8 Condition Look up'!$I$4:$I$130,MATCH(F11,'G-8 Condition Look up'!$A$4:$A$130,0)),"")</f>
        <v>Cond4</v>
      </c>
      <c r="C11" s="382" t="str">
        <f>IFERROR(INDEX('G-1 All Habitats'!$AG$3:$AG$15,MATCH(D11,'G-1 All Habitats'!$AF$3:$AF$15,0)),"")</f>
        <v>Grassland</v>
      </c>
      <c r="D11" s="71" t="s">
        <v>72</v>
      </c>
      <c r="E11" s="82" t="s">
        <v>236</v>
      </c>
      <c r="F11" s="378" t="str">
        <f>IFERROR(INDEX('G-1 All Habitats'!$B$3:$B$129,MATCH(E11,'G-1 All Habitats'!$A$3:$A$129,0)),"")</f>
        <v>Grassland - Modified grassland</v>
      </c>
      <c r="G11" s="70">
        <v>24.81</v>
      </c>
      <c r="H11" s="497" t="str">
        <f>IF(F11="","",VLOOKUP(F11,'G-1 All Habitats'!$B$2:$M$129,10,FALSE))</f>
        <v>Low</v>
      </c>
      <c r="I11" s="498">
        <f>IFERROR(VLOOKUP(H11,'G-1 All Habitats'!$V$3:$W$7,2,FALSE),"")</f>
        <v>2</v>
      </c>
      <c r="J11" s="71" t="s">
        <v>22</v>
      </c>
      <c r="K11" s="498">
        <f>IFERROR(INDEX('G-8 Condition Look up'!$A$3:$H$130,MATCH(F11,'G-8 Condition Look up'!$A$3:$A$130,0),MATCH(J11,'G-8 Condition Look up'!$A$3:$H$3,0)),"")</f>
        <v>2</v>
      </c>
      <c r="L11" s="71" t="s">
        <v>227</v>
      </c>
      <c r="M11" s="519" t="str">
        <f>IF(L11="","",IF(VLOOKUP(L11,'G-3 Multipliers'!$L$3:$N$6,2,FALSE)=0,"Spatial Data Missing",VLOOKUP(L11,'G-3 Multipliers'!$L$3:$N$6,2,FALSE)))</f>
        <v xml:space="preserve">Medium strategic significance </v>
      </c>
      <c r="N11" s="504">
        <f>IF(L11="","",IF(VLOOKUP(L11,'G-3 Multipliers'!$L$3:$N$6,3,FALSE)=0,"Spatial Data Missing",VLOOKUP(L11,'G-3 Multipliers'!$L$3:$N$6,3,FALSE)))</f>
        <v>1.1000000000000001</v>
      </c>
      <c r="O11" s="497">
        <f t="shared" ref="O11:O74" si="0">IFERROR(INDEX(TemporalData,MATCH(F11,TemporalHabitats,0),MATCH(J11,TemporalConditions,0)),"")</f>
        <v>4</v>
      </c>
      <c r="P11" s="82">
        <v>0</v>
      </c>
      <c r="Q11" s="82">
        <v>4</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Check details- Delay in starting habitat in required condition? ⚠</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8</v>
      </c>
      <c r="T11" s="521">
        <f>IFERROR(IF(S11="Check Data ⚠","Check Data ⚠",VLOOKUP(S11,'G-4 Temporal multipliers'!$A$4:$C$37,3,FALSE)),"")</f>
        <v>0.75200115350000007</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82.091453920674013</v>
      </c>
      <c r="Z11" s="238"/>
      <c r="AA11" s="239"/>
      <c r="AE11" s="54">
        <f t="shared" ref="AE11:AE74" si="1">IFERROR(INDEX(TemporalData,MATCH(F11,TemporalHabitats,0),MATCH($AE$10,TemporalConditions,0)),"")</f>
        <v>1</v>
      </c>
    </row>
    <row r="12" spans="1:34" ht="55.15">
      <c r="A12" s="47" t="str">
        <f>IFERROR(INDEX('G-8 Condition Look up'!$I$4:$I$130,MATCH(F12,'G-8 Condition Look up'!$A$4:$A$130,0)),"")</f>
        <v>Cond4</v>
      </c>
      <c r="C12" s="383" t="str">
        <f>IFERROR(INDEX('G-1 All Habitats'!$AG$3:$AG$15,MATCH(D12,'G-1 All Habitats'!$AF$3:$AF$15,0)),"")</f>
        <v>Woodland_and_forest</v>
      </c>
      <c r="D12" s="146" t="s">
        <v>78</v>
      </c>
      <c r="E12" s="79" t="s">
        <v>272</v>
      </c>
      <c r="F12" s="245" t="str">
        <f>IFERROR(INDEX('G-1 All Habitats'!$B$3:$B$129,MATCH(E12,'G-1 All Habitats'!$A$3:$A$129,0)),"")</f>
        <v>Woodland and forest - Wood-pasture and parkland</v>
      </c>
      <c r="G12" s="70">
        <v>2.13</v>
      </c>
      <c r="H12" s="497" t="str">
        <f>IF(F12="","",VLOOKUP(F12,'G-1 All Habitats'!$B$2:$M$129,10,FALSE))</f>
        <v>V.High</v>
      </c>
      <c r="I12" s="498">
        <f>IFERROR(VLOOKUP(H12,'G-1 All Habitats'!$V$3:$W$7,2,FALSE),"")</f>
        <v>8</v>
      </c>
      <c r="J12" s="71" t="s">
        <v>226</v>
      </c>
      <c r="K12" s="498">
        <f>IFERROR(INDEX('G-8 Condition Look up'!$A$3:$H$130,MATCH(F12,'G-8 Condition Look up'!$A$3:$A$130,0),MATCH(J12,'G-8 Condition Look up'!$A$3:$H$3,0)),"")</f>
        <v>2.5</v>
      </c>
      <c r="L12" s="71" t="s">
        <v>227</v>
      </c>
      <c r="M12" s="506" t="str">
        <f>IF(L12="","",IF(VLOOKUP(L12,'G-3 Multipliers'!$L$3:$N$6,2,FALSE)=0,"Spatial Data Missing",VLOOKUP(L12,'G-3 Multipliers'!$L$3:$N$6,2,FALSE)))</f>
        <v xml:space="preserve">Medium strategic significance </v>
      </c>
      <c r="N12" s="504">
        <f>IF(L12="","",IF(VLOOKUP(L12,'G-3 Multipliers'!$L$3:$N$6,3,FALSE)=0,"Spatial Data Missing",VLOOKUP(L12,'G-3 Multipliers'!$L$3:$N$6,3,FALSE)))</f>
        <v>1.1000000000000001</v>
      </c>
      <c r="O12" s="497" t="str">
        <f t="shared" si="0"/>
        <v>30+</v>
      </c>
      <c r="P12" s="82">
        <v>0</v>
      </c>
      <c r="Q12" s="82">
        <v>4</v>
      </c>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Check details- Delay in starting habitat in required condition?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30+</v>
      </c>
      <c r="T12" s="521">
        <f>IFERROR(IF(S12="Check Data ⚠","Check Data ⚠",VLOOKUP(S12,'G-4 Temporal multipliers'!$A$4:$C$37,3,FALSE)),"")</f>
        <v>0.31979673609999998</v>
      </c>
      <c r="U12" s="522" t="str">
        <f>IF(F12="","",VLOOKUP(F12,'G-3 Multipliers'!$A$2:$E$129,2,FALSE))</f>
        <v>Very High</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Very High</v>
      </c>
      <c r="X12" s="523">
        <f>IFERROR(IF(E12="","",VLOOKUP(W12, 'G-3 Multipliers'!$P$2:$Q$6,2,FALSE)),"")</f>
        <v>0.1</v>
      </c>
      <c r="Y12" s="528">
        <f t="shared" ref="Y12:Y75" si="5">IFERROR(G12*I12*K12*N12*T12*X12,"")</f>
        <v>1.4985675053645999</v>
      </c>
      <c r="Z12" s="238"/>
      <c r="AA12" s="239"/>
      <c r="AE12" s="54">
        <f t="shared" si="1"/>
        <v>10</v>
      </c>
    </row>
    <row r="13" spans="1:34" ht="41.45">
      <c r="A13" s="47" t="str">
        <f>IFERROR(INDEX('G-8 Condition Look up'!$I$4:$I$130,MATCH(F13,'G-8 Condition Look up'!$A$4:$A$130,0)),"")</f>
        <v>Cond4</v>
      </c>
      <c r="C13" s="383" t="str">
        <f>IFERROR(INDEX('G-1 All Habitats'!$AG$3:$AG$15,MATCH(D13,'G-1 All Habitats'!$AF$3:$AF$15,0)),"")</f>
        <v>Grassland</v>
      </c>
      <c r="D13" s="146" t="s">
        <v>72</v>
      </c>
      <c r="E13" s="79" t="s">
        <v>273</v>
      </c>
      <c r="F13" s="245" t="str">
        <f>IFERROR(INDEX('G-1 All Habitats'!$B$3:$B$129,MATCH(E13,'G-1 All Habitats'!$A$3:$A$129,0)),"")</f>
        <v>Grassland - Lowland dry acid grassland</v>
      </c>
      <c r="G13" s="70">
        <v>7.47</v>
      </c>
      <c r="H13" s="497" t="str">
        <f>IF(F13="","",VLOOKUP(F13,'G-1 All Habitats'!$B$2:$M$129,10,FALSE))</f>
        <v>V.High</v>
      </c>
      <c r="I13" s="498">
        <f>IFERROR(VLOOKUP(H13,'G-1 All Habitats'!$V$3:$W$7,2,FALSE),"")</f>
        <v>8</v>
      </c>
      <c r="J13" s="71" t="s">
        <v>23</v>
      </c>
      <c r="K13" s="498">
        <f>IFERROR(INDEX('G-8 Condition Look up'!$A$3:$H$130,MATCH(F13,'G-8 Condition Look up'!$A$3:$A$130,0),MATCH(J13,'G-8 Condition Look up'!$A$3:$H$3,0)),"")</f>
        <v>3</v>
      </c>
      <c r="L13" s="71" t="s">
        <v>227</v>
      </c>
      <c r="M13" s="506" t="str">
        <f>IF(L13="","",IF(VLOOKUP(L13,'G-3 Multipliers'!$L$3:$N$6,2,FALSE)=0,"Spatial Data Missing",VLOOKUP(L13,'G-3 Multipliers'!$L$3:$N$6,2,FALSE)))</f>
        <v xml:space="preserve">Medium strategic significance </v>
      </c>
      <c r="N13" s="504">
        <f>IF(L13="","",IF(VLOOKUP(L13,'G-3 Multipliers'!$L$3:$N$6,3,FALSE)=0,"Spatial Data Missing",VLOOKUP(L13,'G-3 Multipliers'!$L$3:$N$6,3,FALSE)))</f>
        <v>1.1000000000000001</v>
      </c>
      <c r="O13" s="497" t="str">
        <f t="shared" si="0"/>
        <v>30+</v>
      </c>
      <c r="P13" s="82">
        <v>0</v>
      </c>
      <c r="Q13" s="82">
        <v>4</v>
      </c>
      <c r="R13" s="506" t="str">
        <f t="shared" si="2"/>
        <v>Check details- Delay in starting habitat in required condition? ⚠</v>
      </c>
      <c r="S13" s="520" t="str">
        <f t="shared" si="3"/>
        <v>30+</v>
      </c>
      <c r="T13" s="521">
        <f>IFERROR(IF(S13="Check Data ⚠","Check Data ⚠",VLOOKUP(S13,'G-4 Temporal multipliers'!$A$4:$C$37,3,FALSE)),"")</f>
        <v>0.31979673609999998</v>
      </c>
      <c r="U13" s="522" t="str">
        <f>IF(F13="","",VLOOKUP(F13,'G-3 Multipliers'!$A$2:$E$129,2,FALSE))</f>
        <v>High</v>
      </c>
      <c r="V13" s="519" t="str">
        <f t="shared" si="4"/>
        <v>Standard difficulty applied</v>
      </c>
      <c r="W13" s="519" t="str">
        <f>IF(E13="","",IF(AND(V13="Standard difficulty applied",O13&gt;P13),U13,IF(AND(V13="Low Difficulty - only applicable if all habitat created before losses",P13&gt;=O13),"Low",VLOOKUP(F13,'G-3 Multipliers'!$A$2:$E$129,4,FALSE))))</f>
        <v>High</v>
      </c>
      <c r="X13" s="523">
        <f>IFERROR(IF(E13="","",VLOOKUP(W13, 'G-3 Multipliers'!$P$2:$Q$6,2,FALSE)),"")</f>
        <v>0.33</v>
      </c>
      <c r="Y13" s="528">
        <f t="shared" si="5"/>
        <v>20.811936661826905</v>
      </c>
      <c r="Z13" s="238"/>
      <c r="AA13" s="239"/>
      <c r="AE13" s="54">
        <f t="shared" si="1"/>
        <v>10</v>
      </c>
    </row>
    <row r="14" spans="1:34" ht="27.6">
      <c r="A14" s="47" t="str">
        <f>IFERROR(INDEX('G-8 Condition Look up'!$I$4:$I$130,MATCH(F14,'G-8 Condition Look up'!$A$4:$A$130,0)),"")</f>
        <v>Cond4</v>
      </c>
      <c r="C14" s="383" t="str">
        <f>IFERROR(INDEX('G-1 All Habitats'!$AG$3:$AG$15,MATCH(D14,'G-1 All Habitats'!$AF$3:$AF$15,0)),"")</f>
        <v>Lakes</v>
      </c>
      <c r="D14" s="146" t="s">
        <v>74</v>
      </c>
      <c r="E14" s="79" t="s">
        <v>274</v>
      </c>
      <c r="F14" s="245" t="str">
        <f>IFERROR(INDEX('G-1 All Habitats'!$B$3:$B$129,MATCH(E14,'G-1 All Habitats'!$A$3:$A$129,0)),"")</f>
        <v>Lakes - Ponds (Priority Habitat)</v>
      </c>
      <c r="G14" s="70">
        <v>0.37</v>
      </c>
      <c r="H14" s="497" t="str">
        <f>IF(F14="","",VLOOKUP(F14,'G-1 All Habitats'!$B$2:$M$129,10,FALSE))</f>
        <v>High</v>
      </c>
      <c r="I14" s="498">
        <f>IFERROR(VLOOKUP(H14,'G-1 All Habitats'!$V$3:$W$7,2,FALSE),"")</f>
        <v>6</v>
      </c>
      <c r="J14" s="71" t="s">
        <v>23</v>
      </c>
      <c r="K14" s="498">
        <f>IFERROR(INDEX('G-8 Condition Look up'!$A$3:$H$130,MATCH(F14,'G-8 Condition Look up'!$A$3:$A$130,0),MATCH(J14,'G-8 Condition Look up'!$A$3:$H$3,0)),"")</f>
        <v>3</v>
      </c>
      <c r="L14" s="71" t="s">
        <v>227</v>
      </c>
      <c r="M14" s="506" t="str">
        <f>IF(L14="","",IF(VLOOKUP(L14,'G-3 Multipliers'!$L$3:$N$6,2,FALSE)=0,"Spatial Data Missing",VLOOKUP(L14,'G-3 Multipliers'!$L$3:$N$6,2,FALSE)))</f>
        <v xml:space="preserve">Medium strategic significance </v>
      </c>
      <c r="N14" s="504">
        <f>IF(L14="","",IF(VLOOKUP(L14,'G-3 Multipliers'!$L$3:$N$6,3,FALSE)=0,"Spatial Data Missing",VLOOKUP(L14,'G-3 Multipliers'!$L$3:$N$6,3,FALSE)))</f>
        <v>1.1000000000000001</v>
      </c>
      <c r="O14" s="497">
        <f t="shared" si="0"/>
        <v>5</v>
      </c>
      <c r="P14" s="82">
        <v>0</v>
      </c>
      <c r="Q14" s="82">
        <v>4</v>
      </c>
      <c r="R14" s="506" t="str">
        <f t="shared" si="2"/>
        <v>Check details- Delay in starting habitat in required condition? ⚠</v>
      </c>
      <c r="S14" s="520">
        <f t="shared" si="3"/>
        <v>9</v>
      </c>
      <c r="T14" s="521">
        <f>IFERROR(IF(S14="Check Data ⚠","Check Data ⚠",VLOOKUP(S14,'G-4 Temporal multipliers'!$A$4:$C$37,3,FALSE)),"")</f>
        <v>0.72568111310000005</v>
      </c>
      <c r="U14" s="522" t="str">
        <f>IF(F14="","",VLOOKUP(F14,'G-3 Multipliers'!$A$2:$E$129,2,FALSE))</f>
        <v>Medium</v>
      </c>
      <c r="V14" s="519" t="str">
        <f t="shared" si="4"/>
        <v>Standard difficulty applied</v>
      </c>
      <c r="W14" s="519" t="str">
        <f>IF(E14="","",IF(AND(V14="Standard difficulty applied",O14&gt;P14),U14,IF(AND(V14="Low Difficulty - only applicable if all habitat created before losses",P14&gt;=O14),"Low",VLOOKUP(F14,'G-3 Multipliers'!$A$2:$E$129,4,FALSE))))</f>
        <v>Medium</v>
      </c>
      <c r="X14" s="523">
        <f>IFERROR(IF(E14="","",VLOOKUP(W14, 'G-3 Multipliers'!$P$2:$Q$6,2,FALSE)),"")</f>
        <v>0.67</v>
      </c>
      <c r="Y14" s="528">
        <f t="shared" si="5"/>
        <v>3.5619476891623023</v>
      </c>
      <c r="Z14" s="238"/>
      <c r="AA14" s="239"/>
      <c r="AE14" s="54">
        <f t="shared" si="1"/>
        <v>1</v>
      </c>
    </row>
    <row r="15" spans="1:34" ht="55.15">
      <c r="A15" s="47" t="str">
        <f>IFERROR(INDEX('G-8 Condition Look up'!$I$4:$I$130,MATCH(F15,'G-8 Condition Look up'!$A$4:$A$130,0)),"")</f>
        <v>Cond4</v>
      </c>
      <c r="C15" s="383" t="str">
        <f>IFERROR(INDEX('G-1 All Habitats'!$AG$3:$AG$15,MATCH(D15,'G-1 All Habitats'!$AF$3:$AF$15,0)),"")</f>
        <v>Woodland_and_forest</v>
      </c>
      <c r="D15" s="146" t="s">
        <v>78</v>
      </c>
      <c r="E15" s="79" t="s">
        <v>225</v>
      </c>
      <c r="F15" s="245" t="str">
        <f>IFERROR(INDEX('G-1 All Habitats'!$B$3:$B$129,MATCH(E15,'G-1 All Habitats'!$A$3:$A$129,0)),"")</f>
        <v>Woodland and forest - Other woodland; broadleaved</v>
      </c>
      <c r="G15" s="70">
        <v>1.83</v>
      </c>
      <c r="H15" s="497" t="str">
        <f>IF(F15="","",VLOOKUP(F15,'G-1 All Habitats'!$B$2:$M$129,10,FALSE))</f>
        <v>Medium</v>
      </c>
      <c r="I15" s="498">
        <f>IFERROR(VLOOKUP(H15,'G-1 All Habitats'!$V$3:$W$7,2,FALSE),"")</f>
        <v>4</v>
      </c>
      <c r="J15" s="71" t="s">
        <v>22</v>
      </c>
      <c r="K15" s="498">
        <f>IFERROR(INDEX('G-8 Condition Look up'!$A$3:$H$130,MATCH(F15,'G-8 Condition Look up'!$A$3:$A$130,0),MATCH(J15,'G-8 Condition Look up'!$A$3:$H$3,0)),"")</f>
        <v>2</v>
      </c>
      <c r="L15" s="71" t="s">
        <v>227</v>
      </c>
      <c r="M15" s="506" t="str">
        <f>IF(L15="","",IF(VLOOKUP(L15,'G-3 Multipliers'!$L$3:$N$6,2,FALSE)=0,"Spatial Data Missing",VLOOKUP(L15,'G-3 Multipliers'!$L$3:$N$6,2,FALSE)))</f>
        <v xml:space="preserve">Medium strategic significance </v>
      </c>
      <c r="N15" s="504">
        <f>IF(L15="","",IF(VLOOKUP(L15,'G-3 Multipliers'!$L$3:$N$6,3,FALSE)=0,"Spatial Data Missing",VLOOKUP(L15,'G-3 Multipliers'!$L$3:$N$6,3,FALSE)))</f>
        <v>1.1000000000000001</v>
      </c>
      <c r="O15" s="497">
        <f t="shared" si="0"/>
        <v>15</v>
      </c>
      <c r="P15" s="82">
        <v>0</v>
      </c>
      <c r="Q15" s="82">
        <v>4</v>
      </c>
      <c r="R15" s="506" t="str">
        <f t="shared" si="2"/>
        <v>Check details- Delay in starting habitat in required condition? ⚠</v>
      </c>
      <c r="S15" s="520">
        <f t="shared" si="3"/>
        <v>19</v>
      </c>
      <c r="T15" s="521">
        <f>IFERROR(IF(S15="Check Data ⚠","Check Data ⚠",VLOOKUP(S15,'G-4 Temporal multipliers'!$A$4:$C$37,3,FALSE)),"")</f>
        <v>0.50818162020000002</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8.1837568117008015</v>
      </c>
      <c r="Z15" s="238"/>
      <c r="AA15" s="239"/>
      <c r="AE15" s="54">
        <f t="shared" si="1"/>
        <v>5</v>
      </c>
    </row>
    <row r="16" spans="1:34" ht="27.6">
      <c r="A16" s="47" t="str">
        <f>IFERROR(INDEX('G-8 Condition Look up'!$I$4:$I$130,MATCH(F16,'G-8 Condition Look up'!$A$4:$A$130,0)),"")</f>
        <v>Cond4</v>
      </c>
      <c r="C16" s="383" t="str">
        <f>IFERROR(INDEX('G-1 All Habitats'!$AG$3:$AG$15,MATCH(D16,'G-1 All Habitats'!$AF$3:$AF$15,0)),"")</f>
        <v>Urban</v>
      </c>
      <c r="D16" s="146" t="s">
        <v>76</v>
      </c>
      <c r="E16" s="79" t="s">
        <v>250</v>
      </c>
      <c r="F16" s="245" t="str">
        <f>IFERROR(INDEX('G-1 All Habitats'!$B$3:$B$129,MATCH(E16,'G-1 All Habitats'!$A$3:$A$129,0)),"")</f>
        <v>Urban - Urban Tree</v>
      </c>
      <c r="G16" s="70">
        <v>2.5636999999999999</v>
      </c>
      <c r="H16" s="497" t="str">
        <f>IF(F16="","",VLOOKUP(F16,'G-1 All Habitats'!$B$2:$M$129,10,FALSE))</f>
        <v>Medium</v>
      </c>
      <c r="I16" s="498">
        <f>IFERROR(VLOOKUP(H16,'G-1 All Habitats'!$V$3:$W$7,2,FALSE),"")</f>
        <v>4</v>
      </c>
      <c r="J16" s="71" t="s">
        <v>226</v>
      </c>
      <c r="K16" s="498">
        <f>IFERROR(INDEX('G-8 Condition Look up'!$A$3:$H$130,MATCH(F16,'G-8 Condition Look up'!$A$3:$A$130,0),MATCH(J16,'G-8 Condition Look up'!$A$3:$H$3,0)),"")</f>
        <v>2.5</v>
      </c>
      <c r="L16" s="71" t="s">
        <v>227</v>
      </c>
      <c r="M16" s="506" t="str">
        <f>IF(L16="","",IF(VLOOKUP(L16,'G-3 Multipliers'!$L$3:$N$6,2,FALSE)=0,"Spatial Data Missing",VLOOKUP(L16,'G-3 Multipliers'!$L$3:$N$6,2,FALSE)))</f>
        <v xml:space="preserve">Medium strategic significance </v>
      </c>
      <c r="N16" s="504">
        <f>IF(L16="","",IF(VLOOKUP(L16,'G-3 Multipliers'!$L$3:$N$6,3,FALSE)=0,"Spatial Data Missing",VLOOKUP(L16,'G-3 Multipliers'!$L$3:$N$6,3,FALSE)))</f>
        <v>1.1000000000000001</v>
      </c>
      <c r="O16" s="497" t="str">
        <f t="shared" si="0"/>
        <v>30+</v>
      </c>
      <c r="P16" s="82">
        <v>0</v>
      </c>
      <c r="Q16" s="82">
        <v>4</v>
      </c>
      <c r="R16" s="506" t="str">
        <f t="shared" si="2"/>
        <v>Check details- Delay in starting habitat in required condition? ⚠</v>
      </c>
      <c r="S16" s="520" t="str">
        <f t="shared" si="3"/>
        <v>30+</v>
      </c>
      <c r="T16" s="521">
        <f>IFERROR(IF(S16="Check Data ⚠","Check Data ⚠",VLOOKUP(S16,'G-4 Temporal multipliers'!$A$4:$C$37,3,FALSE)),"")</f>
        <v>0.31979673609999998</v>
      </c>
      <c r="U16" s="522" t="str">
        <f>IF(F16="","",VLOOKUP(F16,'G-3 Multipliers'!$A$2:$E$129,2,FALSE))</f>
        <v>Low</v>
      </c>
      <c r="V16" s="519" t="str">
        <f t="shared" si="4"/>
        <v>Standard difficulty applied</v>
      </c>
      <c r="W16" s="519" t="str">
        <f>IF(E16="","",IF(AND(V16="Standard difficulty applied",O16&gt;P16),U16,IF(AND(V16="Low Difficulty - only applicable if all habitat created before losses",P16&gt;=O16),"Low",VLOOKUP(F16,'G-3 Multipliers'!$A$2:$E$129,4,FALSE))))</f>
        <v>Low</v>
      </c>
      <c r="X16" s="523">
        <f>IFERROR(IF(E16="","",VLOOKUP(W16, 'G-3 Multipliers'!$P$2:$Q$6,2,FALSE)),"")</f>
        <v>1</v>
      </c>
      <c r="Y16" s="528">
        <f t="shared" si="5"/>
        <v>9.0184918157352705</v>
      </c>
      <c r="Z16" s="238"/>
      <c r="AA16" s="239"/>
      <c r="AE16" s="54">
        <f t="shared" si="1"/>
        <v>10</v>
      </c>
    </row>
    <row r="17" spans="1:31">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45" thickBot="1">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45" thickBot="1">
      <c r="E257" s="178" t="s">
        <v>275</v>
      </c>
      <c r="F257" s="339" t="s">
        <v>276</v>
      </c>
      <c r="G257" s="518">
        <f>SUM(G11:G256)</f>
        <v>39.17369999999999</v>
      </c>
      <c r="T257" s="86"/>
      <c r="U257" s="86"/>
      <c r="V257" s="86"/>
      <c r="W257" s="86"/>
      <c r="X257" s="173" t="s">
        <v>277</v>
      </c>
      <c r="Y257" s="518">
        <f>SUM(Y11:Y256)</f>
        <v>125.16615440446391</v>
      </c>
    </row>
    <row r="258" spans="5:25" ht="14.45" thickBot="1">
      <c r="E258" s="47"/>
    </row>
    <row r="259" spans="5:25" ht="14.45" thickBot="1">
      <c r="E259" s="501" t="s">
        <v>278</v>
      </c>
      <c r="G259" s="518">
        <f>IF('Detailed Results'!$K$40&gt;0,"Error",SUMIFS($G$11:$G$256,$F$11:$F$256,"&lt;&gt;"&amp;'G-1 All Habitats'!B73,$F$11:$F$256,"&lt;&gt;"&amp;'G-1 All Habitats'!B65,$F$11:$F$256,"&lt;&gt;"&amp;'G-1 All Habitats'!B66))</f>
        <v>36.609999999999992</v>
      </c>
    </row>
    <row r="260" spans="5:25">
      <c r="E260" s="47"/>
    </row>
    <row r="261" spans="5:25">
      <c r="E261" s="47"/>
    </row>
    <row r="262" spans="5:25">
      <c r="E262" s="47"/>
    </row>
    <row r="263" spans="5:25">
      <c r="E263" s="47"/>
    </row>
    <row r="264" spans="5:25">
      <c r="E264" s="47"/>
    </row>
    <row r="265" spans="5:25">
      <c r="E265" s="47"/>
    </row>
    <row r="266" spans="5: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Q1" zoomScaleNormal="100" workbookViewId="0">
      <pane ySplit="11" topLeftCell="A12" activePane="bottomLeft" state="frozen"/>
      <selection pane="bottomLeft" activeCell="Y13" sqref="Y13"/>
      <selection activeCell="S28" sqref="S28"/>
    </sheetView>
  </sheetViews>
  <sheetFormatPr defaultColWidth="8.85546875" defaultRowHeight="13.9" zeroHeight="1"/>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4.45" thickBot="1"/>
    <row r="2" spans="1:42" ht="19.5" customHeight="1" thickBot="1">
      <c r="E2" s="922" t="str">
        <f>IF(Start!$F$12="","",Start!$F$12)</f>
        <v>Lea Castle Farm</v>
      </c>
      <c r="F2" s="923"/>
      <c r="G2" s="924"/>
      <c r="AD2" s="929" t="str">
        <f ca="1">IF(OR(COUNTIF($AD$12:AD257,"*30+*")&gt;0,COUNTIF(AH12:AH257,"*30+*")&gt;0),"Note; Habitat selected has a time to target condition greater than 30 years. Non standard agreement may be required.","")</f>
        <v/>
      </c>
      <c r="AE2" s="929"/>
      <c r="AF2" s="929"/>
      <c r="AG2" s="929"/>
      <c r="AH2" s="929"/>
      <c r="AI2" s="929"/>
    </row>
    <row r="3" spans="1:42" ht="13.15" customHeight="1">
      <c r="E3" s="890" t="e">
        <f ca="1">MID(CELL("filename",D1),FIND("]",CELL("filename",D1))+1,256)</f>
        <v>#VALUE!</v>
      </c>
      <c r="F3" s="891"/>
      <c r="G3" s="892"/>
      <c r="AD3" s="929"/>
      <c r="AE3" s="929"/>
      <c r="AF3" s="929"/>
      <c r="AG3" s="929"/>
      <c r="AH3" s="929"/>
      <c r="AI3" s="929"/>
    </row>
    <row r="4" spans="1:42" ht="15.75" customHeight="1" thickBot="1">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c r="AD5" s="929" t="str">
        <f ca="1">IF(Q12&lt;&gt;A12,"Change in broad habitat type detected. Check compliance with guidance.","")</f>
        <v/>
      </c>
      <c r="AE5" s="929"/>
      <c r="AF5" s="929"/>
      <c r="AG5" s="929"/>
      <c r="AH5" s="929"/>
      <c r="AI5" s="929"/>
    </row>
    <row r="6" spans="1:42" ht="15.75" customHeight="1">
      <c r="AD6" s="929"/>
      <c r="AE6" s="929"/>
      <c r="AF6" s="929"/>
      <c r="AG6" s="929"/>
      <c r="AH6" s="929"/>
      <c r="AI6" s="929"/>
    </row>
    <row r="7" spans="1:42">
      <c r="E7" s="48"/>
      <c r="F7" s="48"/>
    </row>
    <row r="8" spans="1:42" ht="18" customHeight="1" thickBot="1"/>
    <row r="9" spans="1:42" ht="15.6" customHeight="1" thickBot="1">
      <c r="F9" s="55"/>
      <c r="G9" s="55"/>
      <c r="H9" s="55"/>
      <c r="I9" s="55"/>
      <c r="J9" s="55"/>
      <c r="K9" s="55"/>
      <c r="L9" s="55"/>
      <c r="M9" s="55"/>
      <c r="N9" s="55"/>
      <c r="O9" s="55"/>
      <c r="P9" s="55"/>
      <c r="Q9" s="917" t="s">
        <v>255</v>
      </c>
      <c r="R9" s="918"/>
      <c r="S9" s="918"/>
      <c r="T9" s="918"/>
      <c r="U9" s="918"/>
      <c r="V9" s="918"/>
      <c r="W9" s="918"/>
      <c r="X9" s="918"/>
      <c r="Y9" s="918"/>
      <c r="Z9" s="918"/>
      <c r="AA9" s="918"/>
      <c r="AB9" s="918"/>
      <c r="AC9" s="918"/>
      <c r="AD9" s="918"/>
      <c r="AE9" s="918"/>
      <c r="AF9" s="918"/>
      <c r="AG9" s="918"/>
      <c r="AH9" s="918"/>
      <c r="AI9" s="918"/>
      <c r="AJ9" s="918"/>
      <c r="AK9" s="918"/>
      <c r="AL9" s="918"/>
      <c r="AM9" s="919"/>
    </row>
    <row r="10" spans="1:42" ht="28.15" customHeight="1" thickBot="1">
      <c r="F10" s="917" t="s">
        <v>279</v>
      </c>
      <c r="G10" s="918"/>
      <c r="H10" s="918"/>
      <c r="I10" s="918"/>
      <c r="J10" s="918"/>
      <c r="K10" s="918"/>
      <c r="L10" s="918"/>
      <c r="M10" s="918"/>
      <c r="N10" s="918"/>
      <c r="O10" s="919"/>
      <c r="P10" s="235"/>
      <c r="Q10" s="925" t="s">
        <v>280</v>
      </c>
      <c r="R10" s="926"/>
      <c r="S10" s="395"/>
      <c r="T10" s="927" t="s">
        <v>281</v>
      </c>
      <c r="U10" s="928"/>
      <c r="V10" s="931" t="s">
        <v>282</v>
      </c>
      <c r="W10" s="936" t="s">
        <v>191</v>
      </c>
      <c r="X10" s="936" t="s">
        <v>208</v>
      </c>
      <c r="Y10" s="936" t="s">
        <v>192</v>
      </c>
      <c r="Z10" s="934" t="s">
        <v>208</v>
      </c>
      <c r="AA10" s="930" t="s">
        <v>193</v>
      </c>
      <c r="AB10" s="927"/>
      <c r="AC10" s="928"/>
      <c r="AD10" s="902" t="s">
        <v>283</v>
      </c>
      <c r="AE10" s="904"/>
      <c r="AF10" s="904"/>
      <c r="AG10" s="904"/>
      <c r="AH10" s="904"/>
      <c r="AI10" s="903"/>
      <c r="AJ10" s="902" t="s">
        <v>284</v>
      </c>
      <c r="AK10" s="904"/>
      <c r="AL10" s="904"/>
      <c r="AM10" s="904"/>
      <c r="AN10" s="905" t="s">
        <v>260</v>
      </c>
      <c r="AO10" s="930" t="s">
        <v>198</v>
      </c>
      <c r="AP10" s="928"/>
    </row>
    <row r="11" spans="1:42" s="49" customFormat="1" ht="55.9" thickBot="1">
      <c r="A11" s="387" t="s">
        <v>204</v>
      </c>
      <c r="B11" s="387" t="s">
        <v>285</v>
      </c>
      <c r="C11" s="387" t="s">
        <v>202</v>
      </c>
      <c r="E11" s="362" t="s">
        <v>286</v>
      </c>
      <c r="F11" s="366" t="s">
        <v>287</v>
      </c>
      <c r="G11" s="366" t="s">
        <v>288</v>
      </c>
      <c r="H11" s="366" t="s">
        <v>289</v>
      </c>
      <c r="I11" s="366" t="s">
        <v>290</v>
      </c>
      <c r="J11" s="366" t="s">
        <v>291</v>
      </c>
      <c r="K11" s="366" t="s">
        <v>292</v>
      </c>
      <c r="L11" s="366" t="s">
        <v>293</v>
      </c>
      <c r="M11" s="366" t="s">
        <v>294</v>
      </c>
      <c r="N11" s="366" t="s">
        <v>295</v>
      </c>
      <c r="O11" s="364" t="s">
        <v>194</v>
      </c>
      <c r="P11" s="360" t="s">
        <v>296</v>
      </c>
      <c r="Q11" s="379" t="s">
        <v>297</v>
      </c>
      <c r="R11" s="77" t="s">
        <v>257</v>
      </c>
      <c r="S11" s="361" t="s">
        <v>257</v>
      </c>
      <c r="T11" s="363" t="s">
        <v>298</v>
      </c>
      <c r="U11" s="365" t="s">
        <v>299</v>
      </c>
      <c r="V11" s="932"/>
      <c r="W11" s="937"/>
      <c r="X11" s="937"/>
      <c r="Y11" s="937"/>
      <c r="Z11" s="935"/>
      <c r="AA11" s="379" t="s">
        <v>193</v>
      </c>
      <c r="AB11" s="388" t="s">
        <v>193</v>
      </c>
      <c r="AC11" s="389" t="s">
        <v>261</v>
      </c>
      <c r="AD11" s="379" t="s">
        <v>262</v>
      </c>
      <c r="AE11" s="390" t="s">
        <v>300</v>
      </c>
      <c r="AF11" s="390" t="s">
        <v>301</v>
      </c>
      <c r="AG11" s="390" t="s">
        <v>265</v>
      </c>
      <c r="AH11" s="390" t="s">
        <v>266</v>
      </c>
      <c r="AI11" s="380" t="s">
        <v>267</v>
      </c>
      <c r="AJ11" s="379" t="s">
        <v>302</v>
      </c>
      <c r="AK11" s="390" t="s">
        <v>269</v>
      </c>
      <c r="AL11" s="390" t="s">
        <v>303</v>
      </c>
      <c r="AM11" s="392" t="s">
        <v>271</v>
      </c>
      <c r="AN11" s="933"/>
      <c r="AO11" s="363" t="s">
        <v>217</v>
      </c>
      <c r="AP11" s="365" t="s">
        <v>218</v>
      </c>
    </row>
    <row r="12" spans="1:42" ht="41.45">
      <c r="A12" s="47" t="str">
        <f ca="1">IF(E12="","",IF(ISNA(VLOOKUP($E12,'A-1 Site Habitat Baseline'!$D$1:$O$258,2,FALSE)),"",(VLOOKUP($E12,'A-1 Site Habitat Baseline'!$D$1:$O$258,2,FALSE))))</f>
        <v>Woodland and forest</v>
      </c>
      <c r="B12" s="47" t="str">
        <f ca="1">IF(E12="","",IF(ISNA(VLOOKUP($E12,'A-1 Site Habitat Baseline'!$D$1:$O$258,3,FALSE)),"",(VLOOKUP($E12,'A-1 Site Habitat Baseline'!$D$1:$O$258,3,FALSE))))</f>
        <v>Other woodland; broadleaved</v>
      </c>
      <c r="C12" s="47" t="str">
        <f>IFERROR(INDEX('G-8 Condition Look up'!$I$4:$I$130,MATCH(S12,'G-8 Condition Look up'!$A$4:$A$130,0)),"")</f>
        <v>Cond4</v>
      </c>
      <c r="E12" s="530">
        <f>'A-1 Site Habitat Baseline'!AL11</f>
        <v>1</v>
      </c>
      <c r="F12" s="519" t="str">
        <f ca="1">IF(E12="","",IF(ISNA(VLOOKUP($E12,'A-1 Site Habitat Baseline'!$D$1:$O$258,4,FALSE)),"",(VLOOKUP($E12,'A-1 Site Habitat Baseline'!$D$1:$O$258,4,FALSE))))</f>
        <v>Woodland and forest - Other woodland; broadleaved</v>
      </c>
      <c r="G12" s="519">
        <f ca="1">IF(E12="","",IF(ISNA(VLOOKUP($E12,'A-1 Site Habitat Baseline'!$D$1:$O$258,5,FALSE)),"",(VLOOKUP($E12,'A-1 Site Habitat Baseline'!$D$1:$O$258,5,FALSE))))</f>
        <v>0.19</v>
      </c>
      <c r="H12" s="519" t="str">
        <f ca="1">IF(E12="","",IF(ISNA(VLOOKUP($E12,'A-1 Site Habitat Baseline'!$D$1:$O$258,6,FALSE)),"",(VLOOKUP($E12,'A-1 Site Habitat Baseline'!$D$1:$O$258,6,FALSE))))</f>
        <v>Medium</v>
      </c>
      <c r="I12" s="519">
        <f ca="1">IF(E12="","",IF(ISNA(VLOOKUP($E12,'A-1 Site Habitat Baseline'!$D$1:$O$258,7,FALSE)),"",(VLOOKUP($E12,'A-1 Site Habitat Baseline'!$D$1:$O$258,7,FALSE))))</f>
        <v>4</v>
      </c>
      <c r="J12" s="519" t="str">
        <f ca="1">IF(E12="","",IF(ISNA(VLOOKUP($E12,'A-1 Site Habitat Baseline'!$D$1:$O$258,8,FALSE)),"",(VLOOKUP($E12,'A-1 Site Habitat Baseline'!$D$1:$O$258,8,FALSE))))</f>
        <v>Fairly Good</v>
      </c>
      <c r="K12" s="519">
        <f ca="1">IF(E12="","",IF(ISNA(VLOOKUP($E12,'A-1 Site Habitat Baseline'!$D$1:$O$258,9,FALSE)),"",(VLOOKUP($E12,'A-1 Site Habitat Baseline'!$D$1:$O$258,9,FALSE))))</f>
        <v>2.5</v>
      </c>
      <c r="L12" s="519" t="str">
        <f ca="1">IF(E12="","",IF(ISNA(VLOOKUP($E12,'A-1 Site Habitat Baseline'!$D$1:$O$258,11,FALSE)),"",(VLOOKUP($E12,'A-1 Site Habitat Baseline'!$D$1:$O$258,11,FALSE))))</f>
        <v xml:space="preserve">Medium strategic significance </v>
      </c>
      <c r="M12" s="519">
        <f ca="1">IF(E12="","",IF(ISNA(VLOOKUP($E12,'A-1 Site Habitat Baseline'!$D$1:$O$258,12,FALSE)),"",(VLOOKUP($E12,'A-1 Site Habitat Baseline'!$D$1:$O$258,12,FALSE))))</f>
        <v>1.1000000000000001</v>
      </c>
      <c r="N12" s="531">
        <f ca="1">IF(E12="","",IF(ISNA(VLOOKUP($E12,'A-1 Site Habitat Baseline'!$D$1:$X$258,14,FALSE)),"",(VLOOKUP($E12,'A-1 Site Habitat Baseline'!$D$1:$X$258,14,FALSE))))</f>
        <v>2.09</v>
      </c>
      <c r="O12" s="523" t="str">
        <f ca="1">IF(E12="","",IF(ISNA(VLOOKUP($E12,'A-1 Site Habitat Baseline'!$D$1:$X$258,16,FALSE)),"",(VLOOKUP($E12,'A-1 Site Habitat Baseline'!$D$1:$X$258,13,FALSE))))</f>
        <v>Same broad habitat or a higher distinctiveness habitat required (≥)</v>
      </c>
      <c r="P12" s="236" t="str">
        <f ca="1">IFERROR(INDEX('G-1 All Habitats'!$AG$3:$AG$15,MATCH(Q12,'G-1 All Habitats'!$AF$3:$AF$15,0)),"")</f>
        <v>Woodland_and_forest</v>
      </c>
      <c r="Q12" s="237" t="str">
        <f t="shared" ref="Q12" ca="1" si="0">A12</f>
        <v>Woodland and forest</v>
      </c>
      <c r="R12" s="237" t="s">
        <v>225</v>
      </c>
      <c r="S12" s="391" t="str">
        <f>IFERROR(INDEX('G-1 All Habitats'!$B$3:$B$129,MATCH(R12,'G-1 All Habitats'!$A$3:$A$129,0)),"")</f>
        <v>Woodland and forest - Other woodland; broadleaved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Medium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Fairly Good - Good</v>
      </c>
      <c r="V12" s="536">
        <f>IF(S12="","",VLOOKUP(E12,BaselineHabSite,17,FALSE))</f>
        <v>0.19</v>
      </c>
      <c r="W12" s="519" t="str">
        <f>IF(S12="","",VLOOKUP(S12,'G-1 All Habitats'!$B$2:$M$129,10,FALSE))</f>
        <v>Medium</v>
      </c>
      <c r="X12" s="519">
        <f>IFERROR(VLOOKUP(W12,'G-1 All Habitats'!$V$3:$W$7,2,FALSE),"")</f>
        <v>4</v>
      </c>
      <c r="Y12" s="79" t="s">
        <v>23</v>
      </c>
      <c r="Z12" s="523">
        <f>IFERROR(INDEX('G-8 Condition Look up'!$A$3:$H$130,MATCH(S12,'G-8 Condition Look up'!$A$3:$A$130,0),MATCH(Y12,'G-8 Condition Look up'!$A$3:$H$3,0)),"")</f>
        <v>3</v>
      </c>
      <c r="AA12" s="71" t="s">
        <v>227</v>
      </c>
      <c r="AB12" s="519" t="str">
        <f>IF(AA12="","",IF(VLOOKUP(AA12,'G-3 Multipliers'!$L$3:$N$6,2,FALSE)=0,"Spatial Data Missing ⚠",VLOOKUP(AA12,'G-3 Multipliers'!$L$3:$N$6,2,FALSE)))</f>
        <v xml:space="preserve">Medium strategic significance </v>
      </c>
      <c r="AC12" s="523">
        <f>IF(AA12="","",IF(VLOOKUP(AA12,'G-3 Multipliers'!$L$3:$N$6,3,FALSE)=0,"Spatial Data Missing ⚠",VLOOKUP(AA12,'G-3 Multipliers'!$L$3:$N$6,3,FALSE)))</f>
        <v>1.1000000000000001</v>
      </c>
      <c r="AD12" s="538">
        <f t="shared" ref="AD12:AD75" ca="1" si="1">IFERROR(IF(OR(LEFT(U12,5)="Error ▲",LEFT(T12,5)="Error ▲"),"Check Data ⚠",INDEX(EnhanceTemporal,MATCH(S12,EnhanceHabitat,0),MATCH(U12,EnhanceCondition,0))),"")</f>
        <v>5</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5</v>
      </c>
      <c r="AI12" s="521">
        <f ca="1">IF(AH12="Check Data ⚠","Check Data ⚠",IFERROR(VLOOKUP(AH12,'G-4 Temporal multipliers'!$A$4:$C$36,3,FALSE),""))</f>
        <v>0.83682870060000003</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2.4397943968508002</v>
      </c>
      <c r="AO12" s="238"/>
      <c r="AP12" s="239"/>
    </row>
    <row r="13" spans="1:42" ht="41.45">
      <c r="A13" s="47" t="str">
        <f ca="1">IF(E13="","",IF(ISNA(VLOOKUP($E13,'A-1 Site Habitat Baseline'!$D$1:$O$258,2,FALSE)),"",(VLOOKUP($E13,'A-1 Site Habitat Baseline'!$D$1:$O$258,2,FALSE))))</f>
        <v>Woodland and forest</v>
      </c>
      <c r="B13" s="47" t="str">
        <f ca="1">IF(E13="","",IF(ISNA(VLOOKUP($E13,'A-1 Site Habitat Baseline'!$D$1:$O$258,3,FALSE)),"",(VLOOKUP($E13,'A-1 Site Habitat Baseline'!$D$1:$O$258,3,FALSE))))</f>
        <v>Other woodland; broadleaved</v>
      </c>
      <c r="C13" s="47" t="str">
        <f>IFERROR(INDEX('G-8 Condition Look up'!$I$4:$I$130,MATCH(S13,'G-8 Condition Look up'!$A$4:$A$130,0)),"")</f>
        <v>Cond4</v>
      </c>
      <c r="E13" s="530">
        <f>'A-1 Site Habitat Baseline'!AL12</f>
        <v>2</v>
      </c>
      <c r="F13" s="519" t="str">
        <f ca="1">IF(E13="","",IF(ISNA(VLOOKUP($E13,'A-1 Site Habitat Baseline'!$D$1:$O$258,4,FALSE)),"",(VLOOKUP($E13,'A-1 Site Habitat Baseline'!$D$1:$O$258,4,FALSE))))</f>
        <v>Woodland and forest - Other woodland; broadleaved</v>
      </c>
      <c r="G13" s="519">
        <f ca="1">IF(E13="","",IF(ISNA(VLOOKUP($E13,'A-1 Site Habitat Baseline'!$D$1:$O$258,5,FALSE)),"",(VLOOKUP($E13,'A-1 Site Habitat Baseline'!$D$1:$O$258,5,FALSE))))</f>
        <v>1.03</v>
      </c>
      <c r="H13" s="519" t="str">
        <f ca="1">IF(E13="","",IF(ISNA(VLOOKUP($E13,'A-1 Site Habitat Baseline'!$D$1:$O$258,6,FALSE)),"",(VLOOKUP($E13,'A-1 Site Habitat Baseline'!$D$1:$O$258,6,FALSE))))</f>
        <v>Medium</v>
      </c>
      <c r="I13" s="519">
        <f ca="1">IF(E13="","",IF(ISNA(VLOOKUP($E13,'A-1 Site Habitat Baseline'!$D$1:$O$258,7,FALSE)),"",(VLOOKUP($E13,'A-1 Site Habitat Baseline'!$D$1:$O$258,7,FALSE))))</f>
        <v>4</v>
      </c>
      <c r="J13" s="519" t="str">
        <f ca="1">IF(E13="","",IF(ISNA(VLOOKUP($E13,'A-1 Site Habitat Baseline'!$D$1:$O$258,8,FALSE)),"",(VLOOKUP($E13,'A-1 Site Habitat Baseline'!$D$1:$O$258,8,FALSE))))</f>
        <v>Moderate</v>
      </c>
      <c r="K13" s="519">
        <f ca="1">IF(E13="","",IF(ISNA(VLOOKUP($E13,'A-1 Site Habitat Baseline'!$D$1:$O$258,9,FALSE)),"",(VLOOKUP($E13,'A-1 Site Habitat Baseline'!$D$1:$O$258,9,FALSE))))</f>
        <v>2</v>
      </c>
      <c r="L13" s="519" t="str">
        <f ca="1">IF(E13="","",IF(ISNA(VLOOKUP($E13,'A-1 Site Habitat Baseline'!$D$1:$O$258,11,FALSE)),"",(VLOOKUP($E13,'A-1 Site Habitat Baseline'!$D$1:$O$258,11,FALSE))))</f>
        <v xml:space="preserve">Medium strategic significance </v>
      </c>
      <c r="M13" s="519">
        <f ca="1">IF(E13="","",IF(ISNA(VLOOKUP($E13,'A-1 Site Habitat Baseline'!$D$1:$O$258,12,FALSE)),"",(VLOOKUP($E13,'A-1 Site Habitat Baseline'!$D$1:$O$258,12,FALSE))))</f>
        <v>1.1000000000000001</v>
      </c>
      <c r="N13" s="531">
        <f ca="1">IF(E13="","",IF(ISNA(VLOOKUP($E13,'A-1 Site Habitat Baseline'!$D$1:$X$258,14,FALSE)),"",(VLOOKUP($E13,'A-1 Site Habitat Baseline'!$D$1:$X$258,14,FALSE))))</f>
        <v>9.0640000000000018</v>
      </c>
      <c r="O13" s="523" t="str">
        <f ca="1">IF(E13="","",IF(ISNA(VLOOKUP($E13,'A-1 Site Habitat Baseline'!$D$1:$X$258,16,FALSE)),"",(VLOOKUP($E13,'A-1 Site Habitat Baseline'!$D$1:$X$258,13,FALSE))))</f>
        <v>Same broad habitat or a higher distinctiveness habitat required (≥)</v>
      </c>
      <c r="P13" s="236" t="str">
        <f ca="1">IFERROR(INDEX('G-1 All Habitats'!$AG$3:$AG$15,MATCH(Q13,'G-1 All Habitats'!$AF$3:$AF$15,0)),"")</f>
        <v>Woodland_and_forest</v>
      </c>
      <c r="Q13" s="237" t="str">
        <f t="shared" ref="Q13:Q76" ca="1" si="2">A13</f>
        <v>Woodland and forest</v>
      </c>
      <c r="R13" s="237" t="s">
        <v>304</v>
      </c>
      <c r="S13" s="391" t="str">
        <f>IFERROR(INDEX('G-1 All Habitats'!$B$3:$B$129,MATCH(R13,'G-1 All Habitats'!$A$3:$A$129,0)),"")</f>
        <v>Woodland and forest - Other woodland; mixed</v>
      </c>
      <c r="T13" s="497" t="str">
        <f t="shared" ref="T13:T76" ca="1"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Medium - Medium</v>
      </c>
      <c r="U13" s="498" t="str">
        <f t="shared" ref="U13:U76" ca="1" si="4">IF(F13="","",IF(AND(LEFT(F13,55)&lt;&gt;LEFT(S13,55),T13= "High - High"),"Error - Not like for like ▲",IF(AND(I13=X13,K13&gt;Z13),"Error - Can not reduce condition ▲",IF(AND(I13=X13,K13=Z13),"Error - No enhancement ▲",IF(X13&lt;I13,"Error Trading Down ▲",IF(AND(F13&lt;&gt;S13,I13&lt;X13),"Lower Distinctiveness Habitat"&amp;" - "&amp;Y13,J13&amp;" - "&amp;Y13))))))</f>
        <v>Moderate - Good</v>
      </c>
      <c r="V13" s="536">
        <f t="shared" ref="V13:V75" si="5">IF(S13="","",VLOOKUP(E13,BaselineHabSite,17,FALSE))</f>
        <v>1.03</v>
      </c>
      <c r="W13" s="519" t="str">
        <f>IF(S13="","",VLOOKUP(S13,'G-1 All Habitats'!$B$2:$M$129,10,FALSE))</f>
        <v>Medium</v>
      </c>
      <c r="X13" s="519">
        <f>IFERROR(VLOOKUP(W13,'G-1 All Habitats'!$V$3:$W$7,2,FALSE),"")</f>
        <v>4</v>
      </c>
      <c r="Y13" s="79" t="s">
        <v>23</v>
      </c>
      <c r="Z13" s="523">
        <f>IFERROR(INDEX('G-8 Condition Look up'!$A$3:$H$130,MATCH(S13,'G-8 Condition Look up'!$A$3:$A$130,0),MATCH(Y13,'G-8 Condition Look up'!$A$3:$H$3,0)),"")</f>
        <v>3</v>
      </c>
      <c r="AA13" s="71" t="s">
        <v>227</v>
      </c>
      <c r="AB13" s="519" t="str">
        <f>IF(AA13="","",IF(VLOOKUP(AA13,'G-3 Multipliers'!$L$3:$N$6,2,FALSE)=0,"Spatial Data Missing ⚠",VLOOKUP(AA13,'G-3 Multipliers'!$L$3:$N$6,2,FALSE)))</f>
        <v xml:space="preserve">Medium strategic significance </v>
      </c>
      <c r="AC13" s="523">
        <f>IF(AA13="","",IF(VLOOKUP(AA13,'G-3 Multipliers'!$L$3:$N$6,3,FALSE)=0,"Spatial Data Missing ⚠",VLOOKUP(AA13,'G-3 Multipliers'!$L$3:$N$6,3,FALSE)))</f>
        <v>1.1000000000000001</v>
      </c>
      <c r="AD13" s="538">
        <f t="shared" ca="1" si="1"/>
        <v>10</v>
      </c>
      <c r="AE13" s="82">
        <v>0</v>
      </c>
      <c r="AF13" s="82">
        <v>0</v>
      </c>
      <c r="AG13" s="506" t="str">
        <f t="shared" ref="AG13:AG76" ca="1"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20">
        <f t="shared" ref="AH13:AH76" ca="1"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10</v>
      </c>
      <c r="AI13" s="521">
        <f ca="1">IF(AH13="Check Data","Check Data",IFERROR(VLOOKUP(AH13,'G-4 Temporal multipliers'!$A$4:$C$36,3,FALSE),""))</f>
        <v>0.70028227419999989</v>
      </c>
      <c r="AJ13" s="497" t="str">
        <f>IF(S13="","",VLOOKUP(S13,'G-3 Multipliers'!$A$2:$E$129,4,FALSE))</f>
        <v>Low</v>
      </c>
      <c r="AK13" s="506" t="str">
        <f t="shared" ref="AK13:AK76" ca="1" si="8">IF(E13="","",IF(AG13="Check details - Is there evidence that habitat has reached target condition? ⚠","Low Difficulty - only applicable if all habitat created before losses ⚠","Standard difficulty applied"))</f>
        <v>Standard difficulty applied</v>
      </c>
      <c r="AL13" s="506" t="str">
        <f t="shared" ref="AL13:AL76" ca="1" si="9">(IF(AND(AK13="Standard difficulty applied",AD13&gt;AE13),AJ13,IF(AND(AK13="Low Difficulty - only applicable if all habitat created before losses ⚠",AE13&gt;=AD13),"Low", AJ13)))</f>
        <v>Low</v>
      </c>
      <c r="AM13" s="539">
        <f ca="1">IFERROR(IF(F13="","",IF(AH13="Check Data ⚠","Check Data ⚠",VLOOKUP(AL13, 'G-3 Multipliers'!$P$2:$Q$6,2,FALSE))),"")</f>
        <v>1</v>
      </c>
      <c r="AN13" s="512">
        <f t="shared" ref="AN13:AN75" ca="1" si="10">IFERROR(((((V13*X13*Z13)-(V13*I13*K13))*(AM13*AI13))+(V13*I13*K13))*(AC13),"")</f>
        <v>12.237679266674402</v>
      </c>
      <c r="AO13" s="238"/>
      <c r="AP13" s="239"/>
    </row>
    <row r="14" spans="1:4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45" thickBot="1">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45" thickBot="1">
      <c r="E258" s="429"/>
      <c r="F258" s="429"/>
      <c r="G258" s="429"/>
      <c r="H258" s="429"/>
      <c r="I258" s="429"/>
      <c r="J258" s="429"/>
      <c r="K258" s="429"/>
      <c r="L258" s="429"/>
      <c r="M258" s="429"/>
      <c r="N258" s="429"/>
      <c r="O258" s="429"/>
      <c r="P258" s="429"/>
      <c r="Q258" s="429"/>
      <c r="R258" s="429"/>
      <c r="S258" s="429"/>
      <c r="T258" s="429"/>
      <c r="U258" s="276"/>
      <c r="V258" s="502">
        <f>SUM(V12:V257)</f>
        <v>1.22</v>
      </c>
      <c r="W258" s="429"/>
      <c r="X258" s="429"/>
      <c r="Y258" s="429"/>
      <c r="Z258" s="429"/>
      <c r="AA258" s="429"/>
      <c r="AB258" s="429"/>
      <c r="AC258" s="429"/>
      <c r="AD258" s="429"/>
      <c r="AE258" s="429"/>
      <c r="AF258" s="429"/>
      <c r="AG258" s="429"/>
      <c r="AH258" s="429"/>
      <c r="AI258" s="429"/>
      <c r="AJ258" s="429"/>
      <c r="AK258" s="429"/>
      <c r="AL258" s="429"/>
      <c r="AM258" s="276"/>
      <c r="AN258" s="502">
        <f ca="1">(SUM(AN12:AN257))</f>
        <v>14.677473663525202</v>
      </c>
      <c r="AO258" s="429"/>
      <c r="AP258" s="429"/>
    </row>
    <row r="259" spans="1:42" ht="17.45">
      <c r="V259" s="921" t="str">
        <f>IF(V258&lt;&gt;'A-1 Site Habitat Baseline'!T259,"Error - Area of habitat enhancement must match the area from sheet A1 ▲","")</f>
        <v/>
      </c>
      <c r="W259" s="921"/>
      <c r="X259" s="921"/>
      <c r="Y259" s="921"/>
      <c r="Z259" s="921"/>
      <c r="AA259" s="921"/>
    </row>
    <row r="260" spans="1:42"/>
    <row r="261" spans="1:42"/>
    <row r="262" spans="1:42"/>
    <row r="263" spans="1:42"/>
    <row r="264" spans="1:42"/>
    <row r="265" spans="1:42"/>
    <row r="266" spans="1:4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pane="bottomLeft"/>
      <selection activeCell="S28" sqref="S28"/>
    </sheetView>
  </sheetViews>
  <sheetFormatPr defaultColWidth="0" defaultRowHeight="13.9" zeroHeight="1"/>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row r="2" spans="1:43" ht="19.5" customHeight="1" thickBot="1">
      <c r="D2" s="946" t="str">
        <f>IF(Start!F12="","",Start!F12)</f>
        <v>Lea Castle Farm</v>
      </c>
      <c r="E2" s="947"/>
      <c r="F2" s="948"/>
    </row>
    <row r="3" spans="1:43" ht="15" customHeight="1">
      <c r="D3" s="940" t="e">
        <f ca="1">MID(CELL("filename",C1),FIND("]",CELL("filename",C1))+1,256)</f>
        <v>#VALUE!</v>
      </c>
      <c r="E3" s="941"/>
      <c r="F3" s="942"/>
    </row>
    <row r="4" spans="1:43" ht="19.899999999999999" customHeight="1" thickBot="1">
      <c r="D4" s="943"/>
      <c r="E4" s="944"/>
      <c r="F4" s="945"/>
    </row>
    <row r="5" spans="1:43" ht="24" customHeight="1"/>
    <row r="6" spans="1:43" ht="15.75" customHeight="1"/>
    <row r="7" spans="1:43" ht="16.149999999999999" customHeight="1">
      <c r="D7" s="132"/>
      <c r="E7" s="132"/>
      <c r="F7" s="132"/>
      <c r="M7" s="131"/>
    </row>
    <row r="8" spans="1:43" ht="22.9" customHeight="1" thickBot="1">
      <c r="D8" s="132"/>
      <c r="E8" s="132"/>
      <c r="F8" s="132"/>
    </row>
    <row r="9" spans="1:43" s="42" customFormat="1" ht="30" customHeight="1" thickBot="1">
      <c r="D9" s="246"/>
      <c r="E9" s="938" t="s">
        <v>190</v>
      </c>
      <c r="F9" s="938"/>
      <c r="G9" s="938"/>
      <c r="H9" s="938"/>
      <c r="I9" s="938" t="s">
        <v>305</v>
      </c>
      <c r="J9" s="938"/>
      <c r="K9" s="938" t="s">
        <v>306</v>
      </c>
      <c r="L9" s="938"/>
      <c r="M9" s="938" t="s">
        <v>193</v>
      </c>
      <c r="N9" s="938"/>
      <c r="O9" s="938"/>
      <c r="P9" s="938" t="s">
        <v>194</v>
      </c>
      <c r="Q9" s="133" t="s">
        <v>195</v>
      </c>
      <c r="R9" s="138"/>
      <c r="S9" s="938" t="s">
        <v>196</v>
      </c>
      <c r="T9" s="938"/>
      <c r="U9" s="938"/>
      <c r="V9" s="938"/>
      <c r="W9" s="938"/>
      <c r="X9" s="938"/>
      <c r="Y9" s="938" t="s">
        <v>197</v>
      </c>
      <c r="Z9" s="938" t="s">
        <v>198</v>
      </c>
      <c r="AA9" s="938"/>
      <c r="AC9" s="42" t="s">
        <v>189</v>
      </c>
      <c r="AD9" s="42" t="s">
        <v>189</v>
      </c>
      <c r="AF9" s="247" t="s">
        <v>199</v>
      </c>
      <c r="AG9" s="247"/>
      <c r="AH9" s="247"/>
      <c r="AI9" s="247"/>
      <c r="AJ9" s="247"/>
      <c r="AK9" s="247" t="s">
        <v>200</v>
      </c>
      <c r="AL9" s="156"/>
      <c r="AM9" s="156"/>
      <c r="AN9" s="156"/>
    </row>
    <row r="10" spans="1:43" ht="57" customHeight="1" thickBot="1">
      <c r="B10" s="131" t="s">
        <v>202</v>
      </c>
      <c r="D10" s="135" t="s">
        <v>286</v>
      </c>
      <c r="E10" s="136" t="s">
        <v>307</v>
      </c>
      <c r="F10" s="136" t="s">
        <v>308</v>
      </c>
      <c r="G10" s="136" t="s">
        <v>206</v>
      </c>
      <c r="H10" s="137" t="s">
        <v>207</v>
      </c>
      <c r="I10" s="135" t="s">
        <v>191</v>
      </c>
      <c r="J10" s="137" t="s">
        <v>208</v>
      </c>
      <c r="K10" s="135" t="s">
        <v>192</v>
      </c>
      <c r="L10" s="137" t="s">
        <v>208</v>
      </c>
      <c r="M10" s="135" t="s">
        <v>193</v>
      </c>
      <c r="N10" s="136" t="s">
        <v>193</v>
      </c>
      <c r="O10" s="137" t="s">
        <v>261</v>
      </c>
      <c r="P10" s="939"/>
      <c r="Q10" s="167" t="s">
        <v>210</v>
      </c>
      <c r="R10" s="138"/>
      <c r="S10" s="135" t="s">
        <v>211</v>
      </c>
      <c r="T10" s="136" t="s">
        <v>212</v>
      </c>
      <c r="U10" s="136" t="s">
        <v>213</v>
      </c>
      <c r="V10" s="136" t="s">
        <v>214</v>
      </c>
      <c r="W10" s="136" t="s">
        <v>309</v>
      </c>
      <c r="X10" s="137" t="s">
        <v>216</v>
      </c>
      <c r="Y10" s="939"/>
      <c r="Z10" s="135" t="s">
        <v>217</v>
      </c>
      <c r="AA10" s="369" t="s">
        <v>218</v>
      </c>
      <c r="AC10" s="248" t="s">
        <v>219</v>
      </c>
      <c r="AD10" s="248" t="s">
        <v>310</v>
      </c>
      <c r="AE10" s="42"/>
      <c r="AF10" s="156" t="s">
        <v>221</v>
      </c>
      <c r="AG10" s="156" t="s">
        <v>222</v>
      </c>
      <c r="AH10" s="156" t="s">
        <v>223</v>
      </c>
      <c r="AI10" s="156" t="s">
        <v>224</v>
      </c>
      <c r="AJ10" s="156"/>
      <c r="AK10" s="156" t="s">
        <v>221</v>
      </c>
      <c r="AL10" s="156" t="s">
        <v>222</v>
      </c>
      <c r="AM10" s="156" t="s">
        <v>223</v>
      </c>
      <c r="AN10" s="156"/>
      <c r="AQ10" s="31" t="s">
        <v>201</v>
      </c>
    </row>
    <row r="11" spans="1:4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45" thickBot="1">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45" thickBot="1">
      <c r="G259" s="321" t="s">
        <v>311</v>
      </c>
      <c r="H259" s="502">
        <f>IF('Detailed Results'!$K$40&gt;0,"Error ▲",SUMIFS($H$11:$H$258,$G$11:$G$258,"&lt;&gt;"&amp;'G-1 All Habitats'!B65,$G$11:$G$258,"&lt;&gt;"&amp;'G-1 All Habitats'!B66,$G$11:$G$258,"&lt;&gt;"&amp;'G-1 All Habitats'!B73))</f>
        <v>0</v>
      </c>
      <c r="N259" s="40"/>
      <c r="P259" s="173" t="s">
        <v>312</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45" thickBot="1">
      <c r="R260" s="166"/>
      <c r="S260" s="166"/>
      <c r="T260" s="166"/>
      <c r="U260" s="166"/>
      <c r="V260" s="166"/>
      <c r="W260" s="166"/>
      <c r="X260" s="166"/>
    </row>
    <row r="261" spans="1:43" ht="35.25" customHeight="1" thickBot="1">
      <c r="D261" s="132"/>
      <c r="E261" s="132"/>
      <c r="F261" s="132"/>
      <c r="S261" s="887" t="s">
        <v>254</v>
      </c>
      <c r="T261" s="888"/>
      <c r="U261" s="888"/>
      <c r="V261" s="889"/>
      <c r="W261" s="502">
        <f>IF('Detailed Results'!$K$40&gt;0,"Error",SUMIFS($W$11:$W$258,$G$11:$G$258,"&lt;&gt;"&amp;'G-1 All Habitats'!B65,$G$11:$G$258,"&lt;&gt;"&amp;'G-1 All Habitats'!B66,$G$11:$G$258,"&lt;&gt;"&amp;'G-1 All Habitats'!B73))</f>
        <v>0</v>
      </c>
    </row>
    <row r="262" spans="1:43">
      <c r="D262" s="132"/>
      <c r="E262" s="132"/>
      <c r="F262" s="132"/>
    </row>
    <row r="263" spans="1:43">
      <c r="D263" s="132"/>
      <c r="E263" s="132"/>
      <c r="F263" s="132"/>
    </row>
    <row r="264" spans="1:43">
      <c r="D264" s="132"/>
      <c r="E264" s="132"/>
      <c r="F264" s="132"/>
    </row>
    <row r="265" spans="1:43">
      <c r="D265" s="132"/>
      <c r="E265" s="132"/>
      <c r="F265" s="132"/>
    </row>
    <row r="266" spans="1:43">
      <c r="D266" s="132"/>
      <c r="E266" s="132"/>
      <c r="F266" s="132"/>
    </row>
    <row r="267" spans="1:43">
      <c r="D267" s="132"/>
      <c r="E267" s="132"/>
      <c r="F267" s="132"/>
    </row>
    <row r="268" spans="1:43">
      <c r="D268" s="132"/>
      <c r="E268" s="132"/>
      <c r="F268" s="132"/>
    </row>
    <row r="269" spans="1:43">
      <c r="D269" s="132"/>
      <c r="E269" s="132"/>
      <c r="F269" s="132"/>
    </row>
    <row r="270" spans="1:43">
      <c r="D270" s="132"/>
      <c r="E270" s="132"/>
      <c r="F270" s="132"/>
    </row>
    <row r="271" spans="1:43">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pane="bottomLeft"/>
      <selection activeCell="S28" sqref="S28"/>
    </sheetView>
  </sheetViews>
  <sheetFormatPr defaultColWidth="0" defaultRowHeight="0" customHeight="1" zeroHeight="1"/>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4.45" thickBot="1"/>
    <row r="2" spans="1:29" ht="25.9" customHeight="1" thickBot="1">
      <c r="D2" s="946" t="str">
        <f>IF(Start!F12="","",Start!F12)</f>
        <v>Lea Castle Farm</v>
      </c>
      <c r="E2" s="947"/>
      <c r="G2" s="241"/>
      <c r="O2" s="908" t="str">
        <f>IF(OR(COUNTIF($O$11:O256,"*30+*")&gt;0,COUNTIF($S$11:S256,"*30+*")&gt;0),"Note; Habitat selected has a time to target condition greater than 30 years. Non standard agreement may be required. ⚠","")</f>
        <v/>
      </c>
      <c r="P2" s="908"/>
      <c r="Q2" s="908"/>
      <c r="R2" s="908"/>
      <c r="S2" s="908"/>
      <c r="T2" s="908"/>
    </row>
    <row r="3" spans="1:29" ht="19.899999999999999" customHeight="1">
      <c r="D3" s="940" t="e">
        <f ca="1">MID(CELL("filename",C1),FIND("]",CELL("filename",C1))+1,256)</f>
        <v>#VALUE!</v>
      </c>
      <c r="E3" s="941"/>
      <c r="G3" s="241"/>
      <c r="O3" s="908"/>
      <c r="P3" s="908"/>
      <c r="Q3" s="908"/>
      <c r="R3" s="908"/>
      <c r="S3" s="908"/>
      <c r="T3" s="908"/>
    </row>
    <row r="4" spans="1:29" ht="15.75" customHeight="1" thickBot="1">
      <c r="D4" s="943"/>
      <c r="E4" s="944"/>
      <c r="G4" s="241"/>
      <c r="M4" s="131"/>
      <c r="O4" s="398"/>
      <c r="P4" s="398"/>
      <c r="Q4" s="398"/>
      <c r="R4" s="398"/>
      <c r="S4" s="398"/>
    </row>
    <row r="5" spans="1:29" ht="29.45" customHeight="1">
      <c r="M5" s="33"/>
      <c r="N5" s="193"/>
      <c r="O5" s="908" t="str">
        <f>IFERROR(IF(OR((G259-'D-1 Off Site Habitat Baseline'!W261)&gt;0.01,(G259-'D-1 Off Site Habitat Baseline'!W261)&lt;-0.01),"Check Areas - Area cross check failed (Baseline habitat lost does not match area of new habitat creation)",""),"")</f>
        <v/>
      </c>
      <c r="P5" s="908"/>
      <c r="Q5" s="908"/>
      <c r="R5" s="908"/>
      <c r="S5" s="908"/>
      <c r="T5" s="908"/>
      <c r="U5" s="399"/>
      <c r="V5" s="399"/>
    </row>
    <row r="6" spans="1:29" ht="31.15" customHeight="1">
      <c r="O6" s="908"/>
      <c r="P6" s="908"/>
      <c r="Q6" s="908"/>
      <c r="R6" s="908"/>
      <c r="S6" s="908"/>
      <c r="T6" s="908"/>
    </row>
    <row r="7" spans="1:29" ht="14.45" thickBot="1"/>
    <row r="8" spans="1:29" ht="14.45" thickBot="1">
      <c r="D8" s="950" t="s">
        <v>255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c r="B9" s="31"/>
      <c r="C9" s="31"/>
      <c r="D9" s="879" t="s">
        <v>204</v>
      </c>
      <c r="E9" s="881" t="s">
        <v>257</v>
      </c>
      <c r="F9" s="881" t="s">
        <v>257</v>
      </c>
      <c r="G9" s="953" t="s">
        <v>207</v>
      </c>
      <c r="H9" s="879" t="s">
        <v>191</v>
      </c>
      <c r="I9" s="877" t="s">
        <v>208</v>
      </c>
      <c r="J9" s="955" t="s">
        <v>192</v>
      </c>
      <c r="K9" s="877" t="s">
        <v>208</v>
      </c>
      <c r="L9" s="939" t="s">
        <v>193</v>
      </c>
      <c r="M9" s="939"/>
      <c r="N9" s="939"/>
      <c r="O9" s="939" t="s">
        <v>283</v>
      </c>
      <c r="P9" s="939"/>
      <c r="Q9" s="939"/>
      <c r="R9" s="939"/>
      <c r="S9" s="939"/>
      <c r="T9" s="939"/>
      <c r="U9" s="939" t="s">
        <v>284</v>
      </c>
      <c r="V9" s="939"/>
      <c r="W9" s="939"/>
      <c r="X9" s="939"/>
      <c r="Y9" s="949" t="s">
        <v>313</v>
      </c>
      <c r="Z9" s="949"/>
      <c r="AA9" s="938" t="s">
        <v>260</v>
      </c>
      <c r="AB9" s="938" t="s">
        <v>198</v>
      </c>
      <c r="AC9" s="938"/>
    </row>
    <row r="10" spans="1:29" ht="41.45">
      <c r="A10" s="131" t="s">
        <v>202</v>
      </c>
      <c r="C10" s="31" t="s">
        <v>314</v>
      </c>
      <c r="D10" s="880"/>
      <c r="E10" s="882"/>
      <c r="F10" s="882"/>
      <c r="G10" s="954"/>
      <c r="H10" s="880"/>
      <c r="I10" s="878"/>
      <c r="J10" s="956"/>
      <c r="K10" s="878"/>
      <c r="L10" s="367" t="s">
        <v>193</v>
      </c>
      <c r="M10" s="200" t="s">
        <v>193</v>
      </c>
      <c r="N10" s="201" t="s">
        <v>261</v>
      </c>
      <c r="O10" s="367" t="s">
        <v>262</v>
      </c>
      <c r="P10" s="200" t="s">
        <v>263</v>
      </c>
      <c r="Q10" s="200" t="s">
        <v>264</v>
      </c>
      <c r="R10" s="200" t="s">
        <v>265</v>
      </c>
      <c r="S10" s="200" t="s">
        <v>266</v>
      </c>
      <c r="T10" s="201" t="s">
        <v>267</v>
      </c>
      <c r="U10" s="367" t="s">
        <v>268</v>
      </c>
      <c r="V10" s="200" t="s">
        <v>315</v>
      </c>
      <c r="W10" s="200" t="s">
        <v>270</v>
      </c>
      <c r="X10" s="201" t="s">
        <v>271</v>
      </c>
      <c r="Y10" s="403" t="s">
        <v>316</v>
      </c>
      <c r="Z10" s="404" t="s">
        <v>313</v>
      </c>
      <c r="AA10" s="939"/>
      <c r="AB10" s="135" t="s">
        <v>217</v>
      </c>
      <c r="AC10" s="137" t="s">
        <v>218</v>
      </c>
    </row>
    <row r="11" spans="1:29" ht="13.9">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3.9">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3.9">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3.9">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3.9">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3.9">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3.9">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3.9">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3.9">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3.9">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3.9">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3.9">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3.9">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3.9">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3.9">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3.9">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3.9">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3.9">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3.9">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3.9">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3.9">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3.9">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3.9">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3.9">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3.9">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3.9">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3.9">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3.9">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3.9">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3.9">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3.9">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3.9">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3.9">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3.9">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3.9">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3.9">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3.9">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3.9">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3.9">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3.9">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3.9">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3.9">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3.9">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3.9">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3.9">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3.9">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3.9">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3.9">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3.9">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3.9">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3.9">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3.9">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3.9">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3.9">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3.9">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3.9">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3.9">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3.9">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3.9">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3.9">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3.9">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3.9">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3.9">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3.9">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3.9">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3.9">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3.9">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3.9">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3.9">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3.9">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3.9">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3.9">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3.9">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3.9">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3.9">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3.9">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3.9">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3.9">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3.9">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3.9">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3.9">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3.9">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3.9">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3.9">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3.9">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3.9">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3.9">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3.9">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3.9">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3.9">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3.9">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3.9">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3.9">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3.9">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3.9">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3.9">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3.9">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3.9">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3.9">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3.9">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3.9">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3.9">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3.9">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3.9">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3.9">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3.9">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3.9">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3.9">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3.9">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3.9">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3.9">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3.9">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3.9">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3.9">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3.9">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3.9">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3.9">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3.9">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3.9">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3.9">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3.9">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3.9">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3.9">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3.9">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3.9">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3.9">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3.9">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3.9">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3.9">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3.9">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3.9">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3.9">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3.9">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3.9">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3.9">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3.9">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3.9">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3.9">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3.9">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3.9">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3.9">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3.9">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3.9">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3.9">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3.9">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3.9">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3.9">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3.9">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3.9">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3.9">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3.9">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3.9">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3.9">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3.9">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3.9">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3.9">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3.9">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3.9">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3.9">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3.9">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3.9">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3.9">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3.9">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3.9">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3.9">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3.9">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3.9">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3.9">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3.9">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3.9">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3.9">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3.9">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3.9">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3.9">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3.9">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3.9">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3.9">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3.9">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3.9">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3.9">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3.9">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3.9">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3.9">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3.9">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3.9">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3.9">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3.9">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3.9">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3.9">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3.9">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3.9">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3.9">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3.9">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3.9">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3.9">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3.9">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3.9">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3.9">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3.9">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3.9">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3.9">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3.9">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3.9">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3.9">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3.9">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3.9">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3.9">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3.9">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3.9">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3.9">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3.9">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3.9">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3.9">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3.9">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3.9">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3.9">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3.9">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3.9">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3.9">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3.9">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3.9">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3.9">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3.9">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3.9">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3.9">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3.9">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3.9">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3.9">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3.9">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3.9">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3.9">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3.9">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3.9">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3.9">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3.9">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3.9">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3.9">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3.9">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3.9">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3.9">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3.9">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3.9">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3.9">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3.9">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3.9">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45" thickBot="1">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45" thickBot="1">
      <c r="E257" s="370" t="s">
        <v>317</v>
      </c>
      <c r="F257" s="321" t="s">
        <v>276</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277</v>
      </c>
      <c r="AA257" s="518">
        <f>SUM(AA11:AA256)</f>
        <v>0</v>
      </c>
    </row>
    <row r="258" spans="5:27" ht="14.45" thickBot="1"/>
    <row r="259" spans="5:27" ht="14.45" thickBot="1">
      <c r="E259" s="501" t="s">
        <v>278</v>
      </c>
      <c r="F259" s="47"/>
      <c r="G259" s="518">
        <f>IF('Detailed Results'!$K$40&gt;0,"Error",SUMIFS($G$11:$G$256,$F$11:$F$256,"&lt;&gt;"&amp;'G-1 All Habitats'!B73,$F$11:$F$256,"&lt;&gt;"&amp;'G-1 All Habitats'!B65,$F$11:$F$256,"&lt;&gt;"&amp;'G-1 All Habitats'!B66))</f>
        <v>0</v>
      </c>
    </row>
    <row r="260" spans="5:27" ht="13.9"/>
    <row r="261" spans="5:27" ht="13.9"/>
    <row r="262" spans="5:27" ht="13.9"/>
    <row r="263" spans="5:27" ht="13.9"/>
    <row r="264" spans="5:27" ht="13.9" hidden="1">
      <c r="T264" s="31" t="s">
        <v>318</v>
      </c>
      <c r="U264" s="31" t="s">
        <v>318</v>
      </c>
      <c r="X264" s="31" t="s">
        <v>318</v>
      </c>
      <c r="AA264" s="31" t="s">
        <v>318</v>
      </c>
    </row>
    <row r="265" spans="5:27" ht="13.9" hidden="1">
      <c r="T265" s="31" t="s">
        <v>318</v>
      </c>
      <c r="U265" s="31" t="s">
        <v>318</v>
      </c>
      <c r="X265" s="31" t="s">
        <v>318</v>
      </c>
      <c r="AA265" s="31" t="s">
        <v>318</v>
      </c>
    </row>
    <row r="266" spans="5:27" ht="13.9" hidden="1"/>
    <row r="267" spans="5:27" ht="13.9" hidden="1"/>
    <row r="268" spans="5:27" ht="13.9" hidden="1"/>
    <row r="269" spans="5:27" ht="13.9" hidden="1"/>
    <row r="270" spans="5:27" ht="13.9" hidden="1"/>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pane="bottomLeft"/>
      <selection activeCell="S28" sqref="S28"/>
    </sheetView>
  </sheetViews>
  <sheetFormatPr defaultColWidth="0" defaultRowHeight="13.9" zeroHeight="1"/>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row r="2" spans="1:44" ht="19.899999999999999" customHeight="1" thickBot="1">
      <c r="E2" s="743" t="str">
        <f>IF(Start!$F$12="","",Start!$F$12)</f>
        <v>Lea Castle Farm</v>
      </c>
      <c r="F2" s="744"/>
      <c r="G2" s="745"/>
      <c r="AD2" s="909" t="str">
        <f>IF(OR(COUNTIF($AD$12:AD257,"*30+*")&gt;0,COUNTIF(AH12:AH257,"*30+*")&gt;0),"Note; Habitat selected has a time to target condition greater than 30 years. Non standard agreement may be required. ⚠","")</f>
        <v/>
      </c>
      <c r="AE2" s="909"/>
      <c r="AF2" s="909"/>
      <c r="AG2" s="909"/>
      <c r="AH2" s="909"/>
      <c r="AI2" s="909"/>
    </row>
    <row r="3" spans="1:44" ht="15.75" customHeight="1" thickBot="1">
      <c r="E3" s="971" t="e">
        <f ca="1">MID(CELL("filename",E1),FIND("]",CELL("filename",E1))+1,256)</f>
        <v>#VALUE!</v>
      </c>
      <c r="F3" s="972"/>
      <c r="G3" s="973"/>
      <c r="AD3" s="909"/>
      <c r="AE3" s="909"/>
      <c r="AF3" s="909"/>
      <c r="AG3" s="909"/>
      <c r="AH3" s="909"/>
      <c r="AI3" s="909"/>
    </row>
    <row r="4" spans="1:44" ht="15.75" customHeight="1" thickBot="1">
      <c r="E4" s="971"/>
      <c r="F4" s="972"/>
      <c r="G4" s="973"/>
      <c r="AB4" s="33"/>
      <c r="AC4" s="193"/>
      <c r="AD4" s="447"/>
      <c r="AE4" s="447"/>
      <c r="AF4" s="447"/>
      <c r="AG4" s="447"/>
      <c r="AH4" s="193"/>
      <c r="AI4" s="193"/>
      <c r="AJ4" s="193"/>
      <c r="AK4" s="193"/>
      <c r="AL4" s="193"/>
      <c r="AM4" s="193"/>
      <c r="AN4" s="193"/>
    </row>
    <row r="5" spans="1:44" ht="15" customHeight="1">
      <c r="AD5" s="929" t="str">
        <f>IF(Q12&lt;&gt;A12,"Change in broad habitat type detected. Check compliance with guidance.","")</f>
        <v/>
      </c>
      <c r="AE5" s="929"/>
      <c r="AF5" s="929"/>
      <c r="AG5" s="929"/>
      <c r="AH5" s="929"/>
      <c r="AI5" s="929"/>
    </row>
    <row r="6" spans="1:44" ht="15.75" customHeight="1">
      <c r="AD6" s="929"/>
      <c r="AE6" s="929"/>
      <c r="AF6" s="929"/>
      <c r="AG6" s="929"/>
      <c r="AH6" s="929"/>
      <c r="AI6" s="929"/>
    </row>
    <row r="7" spans="1:44">
      <c r="F7" s="132"/>
      <c r="G7" s="131"/>
    </row>
    <row r="8" spans="1:44" ht="14.45" thickBot="1"/>
    <row r="9" spans="1:44" ht="14.45" thickBot="1">
      <c r="F9" s="131"/>
      <c r="G9" s="131"/>
      <c r="H9" s="131"/>
      <c r="I9" s="131"/>
      <c r="J9" s="131"/>
      <c r="K9" s="131"/>
      <c r="L9" s="131"/>
      <c r="M9" s="131"/>
      <c r="N9" s="131"/>
      <c r="O9" s="131"/>
      <c r="P9" s="131"/>
      <c r="Q9" s="950" t="s">
        <v>255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c r="F10" s="950" t="s">
        <v>279</v>
      </c>
      <c r="G10" s="951"/>
      <c r="H10" s="951"/>
      <c r="I10" s="951"/>
      <c r="J10" s="951"/>
      <c r="K10" s="951"/>
      <c r="L10" s="951"/>
      <c r="M10" s="951"/>
      <c r="N10" s="951"/>
      <c r="O10" s="952"/>
      <c r="P10" s="223"/>
      <c r="Q10" s="957" t="s">
        <v>319</v>
      </c>
      <c r="R10" s="958"/>
      <c r="S10" s="394"/>
      <c r="T10" s="957" t="s">
        <v>281</v>
      </c>
      <c r="U10" s="958"/>
      <c r="V10" s="964" t="s">
        <v>320</v>
      </c>
      <c r="W10" s="962" t="s">
        <v>191</v>
      </c>
      <c r="X10" s="962" t="s">
        <v>208</v>
      </c>
      <c r="Y10" s="962" t="s">
        <v>192</v>
      </c>
      <c r="Z10" s="960" t="s">
        <v>208</v>
      </c>
      <c r="AA10" s="957" t="s">
        <v>193</v>
      </c>
      <c r="AB10" s="959"/>
      <c r="AC10" s="959"/>
      <c r="AD10" s="966" t="s">
        <v>258</v>
      </c>
      <c r="AE10" s="967"/>
      <c r="AF10" s="967"/>
      <c r="AG10" s="967"/>
      <c r="AH10" s="967"/>
      <c r="AI10" s="968"/>
      <c r="AJ10" s="966" t="s">
        <v>259</v>
      </c>
      <c r="AK10" s="967"/>
      <c r="AL10" s="967"/>
      <c r="AM10" s="968"/>
      <c r="AN10" s="957" t="s">
        <v>313</v>
      </c>
      <c r="AO10" s="958"/>
      <c r="AP10" s="969" t="s">
        <v>260</v>
      </c>
      <c r="AQ10" s="957" t="s">
        <v>198</v>
      </c>
      <c r="AR10" s="958"/>
    </row>
    <row r="11" spans="1:44" ht="51.6" customHeight="1" thickBot="1">
      <c r="A11" s="131" t="s">
        <v>204</v>
      </c>
      <c r="B11" s="131" t="s">
        <v>285</v>
      </c>
      <c r="C11" s="131" t="s">
        <v>202</v>
      </c>
      <c r="E11" s="135" t="s">
        <v>286</v>
      </c>
      <c r="F11" s="136" t="s">
        <v>287</v>
      </c>
      <c r="G11" s="136" t="s">
        <v>275</v>
      </c>
      <c r="H11" s="136" t="s">
        <v>289</v>
      </c>
      <c r="I11" s="136" t="s">
        <v>290</v>
      </c>
      <c r="J11" s="136" t="s">
        <v>291</v>
      </c>
      <c r="K11" s="136" t="s">
        <v>292</v>
      </c>
      <c r="L11" s="136" t="s">
        <v>293</v>
      </c>
      <c r="M11" s="136" t="s">
        <v>294</v>
      </c>
      <c r="N11" s="136" t="s">
        <v>295</v>
      </c>
      <c r="O11" s="137" t="s">
        <v>194</v>
      </c>
      <c r="P11" s="224" t="s">
        <v>314</v>
      </c>
      <c r="Q11" s="367" t="s">
        <v>297</v>
      </c>
      <c r="R11" s="201" t="s">
        <v>321</v>
      </c>
      <c r="S11" s="393" t="s">
        <v>322</v>
      </c>
      <c r="T11" s="367" t="s">
        <v>298</v>
      </c>
      <c r="U11" s="201" t="s">
        <v>299</v>
      </c>
      <c r="V11" s="965"/>
      <c r="W11" s="963"/>
      <c r="X11" s="963"/>
      <c r="Y11" s="963"/>
      <c r="Z11" s="961"/>
      <c r="AA11" s="367" t="s">
        <v>193</v>
      </c>
      <c r="AB11" s="200" t="s">
        <v>193</v>
      </c>
      <c r="AC11" s="201" t="s">
        <v>261</v>
      </c>
      <c r="AD11" s="367" t="s">
        <v>262</v>
      </c>
      <c r="AE11" s="200" t="s">
        <v>300</v>
      </c>
      <c r="AF11" s="200" t="s">
        <v>301</v>
      </c>
      <c r="AG11" s="200" t="s">
        <v>265</v>
      </c>
      <c r="AH11" s="200" t="s">
        <v>266</v>
      </c>
      <c r="AI11" s="201" t="s">
        <v>267</v>
      </c>
      <c r="AJ11" s="367" t="s">
        <v>323</v>
      </c>
      <c r="AK11" s="200" t="s">
        <v>315</v>
      </c>
      <c r="AL11" s="200" t="s">
        <v>324</v>
      </c>
      <c r="AM11" s="201" t="s">
        <v>271</v>
      </c>
      <c r="AN11" s="207" t="s">
        <v>316</v>
      </c>
      <c r="AO11" s="225" t="s">
        <v>313</v>
      </c>
      <c r="AP11" s="970"/>
      <c r="AQ11" s="141" t="s">
        <v>217</v>
      </c>
      <c r="AR11" s="358" t="s">
        <v>218</v>
      </c>
    </row>
    <row r="12" spans="1:44">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45" thickBot="1">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c r="V260" s="31" t="str">
        <f>IF(V259&lt;&gt;'D-1 Off Site Habitat Baseline'!T259,"Error - Area of habitat enhancement must match the area from sheet D1 ▲","")</f>
        <v/>
      </c>
    </row>
    <row r="261" spans="1:44"/>
    <row r="262" spans="1:44"/>
    <row r="263" spans="1:44"/>
    <row r="264" spans="1:44"/>
    <row r="265" spans="1:44"/>
    <row r="266" spans="1:44"/>
    <row r="267" spans="1:44"/>
    <row r="268" spans="1:44"/>
    <row r="269" spans="1:44"/>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pane="bottomLeft" activeCell="M12" sqref="M12"/>
      <selection activeCell="S28" sqref="S28"/>
    </sheetView>
  </sheetViews>
  <sheetFormatPr defaultColWidth="8.85546875" defaultRowHeight="0" customHeight="1" zeroHeight="1"/>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row r="2" spans="2:38" ht="20.25" customHeight="1" thickBot="1">
      <c r="B2" s="743" t="str">
        <f>IF([1]Start!$F$12="","",[1]Start!$F$12)</f>
        <v/>
      </c>
      <c r="C2" s="744"/>
      <c r="D2" s="745"/>
    </row>
    <row r="3" spans="2:38" ht="20.45" customHeight="1">
      <c r="B3" s="974" t="e">
        <f ca="1">MID(CELL("filename",A1),FIND("]",CELL("filename",A1))+1,256)</f>
        <v>#VALUE!</v>
      </c>
      <c r="C3" s="975"/>
      <c r="D3" s="976"/>
    </row>
    <row r="4" spans="2:38" ht="10.9" customHeight="1" thickBot="1">
      <c r="B4" s="977"/>
      <c r="C4" s="978"/>
      <c r="D4" s="979"/>
    </row>
    <row r="5" spans="2:38" ht="15.75" customHeight="1"/>
    <row r="6" spans="2:38" ht="20.45" customHeight="1"/>
    <row r="7" spans="2:38" ht="45" customHeight="1" thickBot="1">
      <c r="B7" s="132"/>
      <c r="C7" s="132"/>
      <c r="E7" s="131"/>
    </row>
    <row r="8" spans="2:38" s="42" customFormat="1" ht="28.5" customHeight="1" thickBot="1">
      <c r="B8" s="40"/>
      <c r="C8" s="966" t="s">
        <v>325</v>
      </c>
      <c r="D8" s="967"/>
      <c r="E8" s="968"/>
      <c r="F8" s="939" t="s">
        <v>305</v>
      </c>
      <c r="G8" s="939"/>
      <c r="H8" s="939" t="s">
        <v>306</v>
      </c>
      <c r="I8" s="939"/>
      <c r="J8" s="939" t="s">
        <v>193</v>
      </c>
      <c r="K8" s="939"/>
      <c r="L8" s="939"/>
      <c r="M8" s="969" t="s">
        <v>194</v>
      </c>
      <c r="N8" s="167" t="s">
        <v>195</v>
      </c>
      <c r="O8" s="31"/>
      <c r="P8" s="966" t="s">
        <v>196</v>
      </c>
      <c r="Q8" s="967"/>
      <c r="R8" s="967"/>
      <c r="S8" s="967"/>
      <c r="T8" s="967"/>
      <c r="U8" s="968"/>
      <c r="V8" s="966" t="s">
        <v>198</v>
      </c>
      <c r="W8" s="968"/>
    </row>
    <row r="9" spans="2:38" ht="45.75" customHeight="1" thickBot="1">
      <c r="B9" s="135" t="s">
        <v>286</v>
      </c>
      <c r="C9" s="200" t="s">
        <v>326</v>
      </c>
      <c r="D9" s="200" t="s">
        <v>101</v>
      </c>
      <c r="E9" s="201" t="s">
        <v>327</v>
      </c>
      <c r="F9" s="367" t="s">
        <v>191</v>
      </c>
      <c r="G9" s="201" t="s">
        <v>208</v>
      </c>
      <c r="H9" s="367" t="s">
        <v>192</v>
      </c>
      <c r="I9" s="201" t="s">
        <v>208</v>
      </c>
      <c r="J9" s="367" t="s">
        <v>193</v>
      </c>
      <c r="K9" s="200" t="s">
        <v>193</v>
      </c>
      <c r="L9" s="201" t="s">
        <v>261</v>
      </c>
      <c r="M9" s="970"/>
      <c r="N9" s="206" t="s">
        <v>328</v>
      </c>
      <c r="P9" s="367" t="s">
        <v>329</v>
      </c>
      <c r="Q9" s="200" t="s">
        <v>330</v>
      </c>
      <c r="R9" s="200" t="s">
        <v>331</v>
      </c>
      <c r="S9" s="200" t="s">
        <v>332</v>
      </c>
      <c r="T9" s="200" t="s">
        <v>333</v>
      </c>
      <c r="U9" s="201" t="s">
        <v>216</v>
      </c>
      <c r="V9" s="207" t="s">
        <v>217</v>
      </c>
      <c r="W9" s="208" t="s">
        <v>218</v>
      </c>
      <c r="AE9" s="156" t="s">
        <v>221</v>
      </c>
      <c r="AF9" s="156" t="s">
        <v>222</v>
      </c>
      <c r="AH9" s="156" t="s">
        <v>224</v>
      </c>
      <c r="AJ9" s="156" t="s">
        <v>221</v>
      </c>
      <c r="AK9" s="156" t="s">
        <v>222</v>
      </c>
      <c r="AL9" s="131" t="s">
        <v>202</v>
      </c>
    </row>
    <row r="10" spans="2:38" ht="27.6">
      <c r="B10" s="141">
        <v>1</v>
      </c>
      <c r="C10" s="202"/>
      <c r="D10" s="82" t="s">
        <v>118</v>
      </c>
      <c r="E10" s="172">
        <v>0.33500000000000002</v>
      </c>
      <c r="F10" s="552" t="str">
        <f>IF(D10="","",VLOOKUP(D10,'G-6 Hedgerow Data'!$B$2:$AG$15,2,FALSE))</f>
        <v>Low</v>
      </c>
      <c r="G10" s="498">
        <f>IF(D10="","",VLOOKUP(D10,'G-6 Hedgerow Data'!$B$2:$AG$15,3,FALSE))</f>
        <v>2</v>
      </c>
      <c r="H10" s="145" t="s">
        <v>22</v>
      </c>
      <c r="I10" s="498">
        <f>IFERROR(VLOOKUP(H10,'G-1 All Habitats'!$Z$2:$AA$9,2,FALSE),"")</f>
        <v>2</v>
      </c>
      <c r="J10" s="145" t="s">
        <v>232</v>
      </c>
      <c r="K10" s="519" t="str">
        <f>IF(J10="","",IF(VLOOKUP(J10,'G-3 Multipliers'!$L$3:$N$6,2,FALSE)=0,"Spatial Data Missing",VLOOKUP(J10,'G-3 Multipliers'!$L$3:$N$6,2,FALSE)))</f>
        <v>Low Strategic Significance</v>
      </c>
      <c r="L10" s="504">
        <f>IF(J10="","",IF(VLOOKUP(J10,'G-3 Multipliers'!$L$3:$N$6,3,FALSE)=0,"Spatial Data Missing ⚠",VLOOKUP(J10,'G-3 Multipliers'!$L$3:$N$6,3,FALSE)))</f>
        <v>1</v>
      </c>
      <c r="M10" s="505" t="str">
        <f>IF(D10="","",VLOOKUP(D10,'G-6 Hedgerow Data'!$B$1:$AH$15,33,FALSE))</f>
        <v>Same distinctiveness band or better</v>
      </c>
      <c r="N10" s="512">
        <f>IFERROR(E10*G10*I10*L10,"")</f>
        <v>1.34</v>
      </c>
      <c r="O10" s="40"/>
      <c r="P10" s="154"/>
      <c r="Q10" s="154">
        <v>0.20100000000000001</v>
      </c>
      <c r="R10" s="531">
        <f>IFERROR(P10*G10*I10*L10,"")</f>
        <v>0</v>
      </c>
      <c r="S10" s="531">
        <f>IFERROR(Q10*G10*I10*L10,"")</f>
        <v>0.80400000000000005</v>
      </c>
      <c r="T10" s="531">
        <f>IF(D10="","",IF(E10-P10-Q10=0&lt;0,"Error in lengths ▲",IF(P10+Q10&gt;E10,"Error in Lengths ▲",E10-P10-Q10)))</f>
        <v>0.13400000000000001</v>
      </c>
      <c r="U10" s="556">
        <f>IF(OR(E10="",N10=""),"",IF(E10-P10-Q10=0&lt;0,"Error in Lengths ▲",IF(P10+Q10&gt;E10,"Error in Lengths ▲",N10-R10-S10)))</f>
        <v>0.53600000000000003</v>
      </c>
      <c r="V10" s="169"/>
      <c r="W10" s="170"/>
      <c r="AE10" s="156" t="b">
        <f t="shared" ref="AE10:AE73" si="0">IF(D10="","",IF(P10&gt;0,TRUE,FALSE))</f>
        <v>0</v>
      </c>
      <c r="AF10" s="156" t="b">
        <f t="shared" ref="AF10:AF73" si="1">IF(D10="","",IF(Q10&gt;0,TRUE,FALSE))</f>
        <v>1</v>
      </c>
      <c r="AH10" s="156">
        <v>1</v>
      </c>
      <c r="AJ10" s="156" t="str">
        <f t="array" ref="AJ10">IFERROR(INDEX($AH$10:$AH$258, MATCH(0, IF(TRUE=$AE$10:$AE$258, COUNTIF($AJ9:$AJ$9, $AH$10:$AH$258), ""), 0)),"")</f>
        <v/>
      </c>
      <c r="AK10" s="156">
        <f t="array" ref="AK10">IFERROR(INDEX($AH$10:$AH$258, MATCH(0, IF(TRUE=$AF$10:$AF$258, COUNTIF($AK9:$AK$9, $AH$10:$AH$258), ""), 0)),"")</f>
        <v>1</v>
      </c>
      <c r="AL10" s="31" t="str">
        <f>IFERROR(INDEX('G-6 Hedgerow Data'!$BJ$3:$BJ$15,MATCH(D10,'G-6 Hedgerow Data'!$B$3:$B$15,0)),"")</f>
        <v>Hedgecond1</v>
      </c>
    </row>
    <row r="11" spans="2:38" ht="27.6">
      <c r="B11" s="141">
        <v>2</v>
      </c>
      <c r="C11" s="202"/>
      <c r="D11" s="82" t="s">
        <v>118</v>
      </c>
      <c r="E11" s="172">
        <v>0.34899999999999998</v>
      </c>
      <c r="F11" s="552" t="str">
        <f>IF(D11="","",VLOOKUP(D11,'G-6 Hedgerow Data'!$B$2:$AG$15,2,FALSE))</f>
        <v>Low</v>
      </c>
      <c r="G11" s="498">
        <f>IF(D11="","",VLOOKUP(D11,'G-6 Hedgerow Data'!$B$2:$AG$15,3,FALSE))</f>
        <v>2</v>
      </c>
      <c r="H11" s="145" t="s">
        <v>22</v>
      </c>
      <c r="I11" s="498">
        <f>IFERROR(VLOOKUP(H11,'G-1 All Habitats'!$Z$2:$AA$9,2,FALSE),"")</f>
        <v>2</v>
      </c>
      <c r="J11" s="145" t="s">
        <v>232</v>
      </c>
      <c r="K11" s="506" t="str">
        <f>IF(J11="","",IF(VLOOKUP(J11,'G-3 Multipliers'!$L$3:$N$6,2,FALSE)=0,"Spatial Data Missing",VLOOKUP(J11,'G-3 Multipliers'!$L$3:$N$6,2,FALSE)))</f>
        <v>Low Strategic Significance</v>
      </c>
      <c r="L11" s="504">
        <f>IF(J11="","",IF(VLOOKUP(J11,'G-3 Multipliers'!$L$3:$N$6,3,FALSE)=0,"Spatial Data Missing ⚠",VLOOKUP(J11,'G-3 Multipliers'!$L$3:$N$6,3,FALSE)))</f>
        <v>1</v>
      </c>
      <c r="M11" s="505" t="str">
        <f>IF(D11="","",VLOOKUP(D11,'G-6 Hedgerow Data'!$B$1:$AH$15,33,FALSE))</f>
        <v>Same distinctiveness band or better</v>
      </c>
      <c r="N11" s="512">
        <f t="shared" ref="N11:N74" si="2">IFERROR(E11*G11*I11*L11,"")</f>
        <v>1.3959999999999999</v>
      </c>
      <c r="O11" s="40"/>
      <c r="P11" s="154"/>
      <c r="Q11" s="154">
        <v>0.24299999999999999</v>
      </c>
      <c r="R11" s="531">
        <f t="shared" ref="R11:R74" si="3">IFERROR(P11*G11*I11*L11,"")</f>
        <v>0</v>
      </c>
      <c r="S11" s="531">
        <f t="shared" ref="S11:S74" si="4">IFERROR(Q11*G11*I11*L11,"")</f>
        <v>0.97199999999999998</v>
      </c>
      <c r="T11" s="531">
        <f t="shared" ref="T11:T74" si="5">IF(D11="","",IF(E11-P11-Q11=0&lt;0,"Error in lengths ▲",IF(P11+Q11&gt;E11,"Error in Lengths ▲",E11-P11-Q11)))</f>
        <v>0.10599999999999998</v>
      </c>
      <c r="U11" s="556">
        <f>IF(OR(E11="",N11=""),"",IF(E11-P11-Q11=0&lt;0,"Error in Lengths ▲",IF(P11+Q11&gt;E11,"Error in Lengths ▲",N11-R11-S11)))</f>
        <v>0.42399999999999993</v>
      </c>
      <c r="V11" s="151"/>
      <c r="W11" s="152"/>
      <c r="AE11" s="156" t="b">
        <f t="shared" si="0"/>
        <v>0</v>
      </c>
      <c r="AF11" s="156" t="b">
        <f t="shared" si="1"/>
        <v>1</v>
      </c>
      <c r="AH11" s="156">
        <v>2</v>
      </c>
      <c r="AJ11" s="156" t="str">
        <f t="array" ref="AJ11">IFERROR(INDEX($AH$10:$AH$258, MATCH(0, IF(TRUE=$AE$10:$AE$258, COUNTIF($AJ$9:$AJ10, $AH$10:$AH$258), ""), 0)),"")</f>
        <v/>
      </c>
      <c r="AK11" s="156">
        <f t="array" ref="AK11">IFERROR(INDEX($AH$10:$AH$258, MATCH(0, IF(TRUE=$AF$10:$AF$258, COUNTIF($AK$9:$AK10, $AH$10:$AH$258), ""), 0)),"")</f>
        <v>2</v>
      </c>
      <c r="AL11" s="31" t="str">
        <f>IFERROR(INDEX('G-6 Hedgerow Data'!$BJ$3:$BJ$15,MATCH(D11,'G-6 Hedgerow Data'!$B$3:$B$15,0)),"")</f>
        <v>Hedgecond1</v>
      </c>
    </row>
    <row r="12" spans="2:38" ht="13.9">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3.9">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3.9">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3.9">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3.9">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3.9">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3.9">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3.9">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3.9">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3.9">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3.9">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3.9">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3.9">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3.9">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3.9">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3.9">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3.9">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3.9">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3.9">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3.9">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3.9">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3.9">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3.9">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3.9">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3.9">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3.9">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3.9">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3.9">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3.9">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3.9">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3.9">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3.9">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3.9">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3.9">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3.9">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3.9">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3.9">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3.9">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3.9">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3.9">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3.9">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3.9">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3.9">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3.9">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3.9">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3.9">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3.9">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3.9">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3.9">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3.9">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3.9">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3.9">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3.9">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3.9">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3.9">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3.9">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3.9">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3.9">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3.9">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3.9">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3.9">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3.9">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3.9">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3.9">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3.9">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3.9">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3.9">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3.9">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3.9">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3.9">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3.9">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3.9">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3.9">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3.9">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3.9">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3.9">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3.9">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3.9">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3.9">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3.9">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3.9">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3.9">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3.9">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3.9">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3.9">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3.9">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3.9">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3.9">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3.9">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3.9">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3.9">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3.9">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3.9">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3.9">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3.9">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3.9">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3.9">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3.9">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3.9">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3.9">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3.9">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3.9">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3.9">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3.9">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3.9">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3.9">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3.9">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3.9">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3.9">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3.9">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3.9">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3.9">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3.9">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3.9">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3.9">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3.9">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3.9">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3.9">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3.9">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3.9">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3.9">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3.9">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3.9">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3.9">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3.9">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3.9">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3.9">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3.9">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3.9">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3.9">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3.9">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3.9">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3.9">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3.9">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3.9">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3.9">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3.9">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3.9">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3.9">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3.9">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3.9">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3.9">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3.9">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3.9">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3.9">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3.9">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3.9">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3.9">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3.9">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3.9">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3.9">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3.9">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3.9">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3.9">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3.9">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3.9">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3.9">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3.9">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3.9">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3.9">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3.9">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3.9">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3.9">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3.9">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3.9">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3.9">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3.9">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3.9">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3.9">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3.9">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3.9">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3.9">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3.9">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3.9">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3.9">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3.9">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3.9">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3.9">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3.9">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3.9">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3.9">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3.9">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3.9">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3.9">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3.9">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3.9">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3.9">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3.9">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3.9">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3.9">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3.9">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3.9">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3.9">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3.9">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3.9">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3.9">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3.9">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3.9">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3.9">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3.9">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3.9">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3.9">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3.9">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3.9">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3.9">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3.9">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3.9">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3.9">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3.9">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3.9">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3.9">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3.9">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3.9">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3.9">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3.9">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3.9">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3.9">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3.9">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3.9">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3.9">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3.9">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3.9">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3.9">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3.9">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3.9">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3.9">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3.9">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3.9">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3.9">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3.9">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3.9">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3.9">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3.9">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3.9">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3.9">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3.9">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3.9">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3.9">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3.9">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3.9">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3.9">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3.9">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3.9">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3.9">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3.9">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45" thickBot="1">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45" thickBot="1">
      <c r="D258" s="442"/>
      <c r="E258" s="553">
        <f>SUM(E10:E257)</f>
        <v>0.68399999999999994</v>
      </c>
      <c r="M258" s="442"/>
      <c r="N258" s="555">
        <f>SUM(N10:N257)</f>
        <v>2.7359999999999998</v>
      </c>
      <c r="O258" s="166"/>
      <c r="P258" s="516">
        <f t="shared" ref="P258:U258" si="28">SUM(P10:P257)</f>
        <v>0</v>
      </c>
      <c r="Q258" s="517">
        <f t="shared" si="28"/>
        <v>0.44400000000000001</v>
      </c>
      <c r="R258" s="517">
        <f t="shared" si="28"/>
        <v>0</v>
      </c>
      <c r="S258" s="517">
        <f t="shared" si="28"/>
        <v>1.776</v>
      </c>
      <c r="T258" s="517">
        <f t="shared" si="28"/>
        <v>0.24</v>
      </c>
      <c r="U258" s="513">
        <f t="shared" si="28"/>
        <v>0.96</v>
      </c>
    </row>
    <row r="259" spans="2:38" ht="13.9">
      <c r="O259" s="166"/>
      <c r="P259" s="166"/>
      <c r="Q259" s="166"/>
      <c r="R259" s="166"/>
      <c r="S259" s="166"/>
      <c r="T259" s="166"/>
      <c r="U259" s="166"/>
    </row>
    <row r="260" spans="2:38" ht="13.9">
      <c r="B260" s="132"/>
      <c r="C260" s="132"/>
    </row>
    <row r="261" spans="2:38" ht="13.9">
      <c r="B261" s="132"/>
      <c r="C261" s="132"/>
    </row>
    <row r="262" spans="2:38" ht="13.9">
      <c r="B262" s="132"/>
      <c r="C262" s="132"/>
    </row>
    <row r="263" spans="2:38" ht="13.9">
      <c r="B263" s="132"/>
      <c r="C263" s="132"/>
    </row>
    <row r="264" spans="2:38" ht="13.9">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opLeftCell="E1" zoomScaleNormal="100" workbookViewId="0">
      <pane ySplit="11" topLeftCell="A12" activePane="bottomLeft" state="frozen"/>
      <selection pane="bottomLeft" activeCell="E12" sqref="E12"/>
      <selection activeCell="S28" sqref="S28"/>
    </sheetView>
  </sheetViews>
  <sheetFormatPr defaultColWidth="0" defaultRowHeight="0" customHeight="1" zeroHeight="1"/>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row r="2" spans="2:33" ht="21.6" customHeight="1" thickBot="1">
      <c r="B2" s="832" t="str">
        <f>IF([1]Start!F12="","",[1]Start!F12)</f>
        <v/>
      </c>
      <c r="C2" s="833"/>
      <c r="D2" s="834"/>
    </row>
    <row r="3" spans="2:33" ht="15" customHeight="1">
      <c r="B3" s="940" t="e">
        <f ca="1">MID(CELL("filename",A1),FIND("]",CELL("filename",A1))+1,256)</f>
        <v>#VALUE!</v>
      </c>
      <c r="C3" s="941"/>
      <c r="D3" s="942"/>
      <c r="M3" s="908" t="str">
        <f>IF(OR(COUNTIF($M$12:M259,"*30+*")&gt;0,COUNTIF($Q$12:Q259,"*30+*")&gt;0),"Note; Habitat selected has a time to target condition greater than 30 years. Non standard agreement may be required. ⚠","")</f>
        <v>Note; Habitat selected has a time to target condition greater than 30 years. Non standard agreement may be required. ⚠</v>
      </c>
      <c r="N3" s="908"/>
      <c r="O3" s="908"/>
      <c r="P3" s="908"/>
      <c r="Q3" s="908"/>
      <c r="R3" s="908"/>
    </row>
    <row r="4" spans="2:33" ht="15.75" customHeight="1" thickBot="1">
      <c r="B4" s="943"/>
      <c r="C4" s="944"/>
      <c r="D4" s="945"/>
      <c r="M4" s="908"/>
      <c r="N4" s="908"/>
      <c r="O4" s="908"/>
      <c r="P4" s="908"/>
      <c r="Q4" s="908"/>
      <c r="R4" s="908"/>
    </row>
    <row r="5" spans="2:33" ht="15.75" customHeight="1">
      <c r="M5" s="908"/>
      <c r="N5" s="908"/>
      <c r="O5" s="908"/>
      <c r="P5" s="908"/>
      <c r="Q5" s="908"/>
      <c r="R5" s="908"/>
    </row>
    <row r="6" spans="2:33" ht="15.75" customHeight="1">
      <c r="M6" s="402"/>
      <c r="N6" s="402"/>
      <c r="O6" s="402"/>
      <c r="P6" s="402"/>
      <c r="Q6" s="402"/>
    </row>
    <row r="7" spans="2:33" ht="15.75" customHeight="1">
      <c r="B7" s="132"/>
      <c r="C7" s="132"/>
      <c r="M7" s="402"/>
      <c r="N7" s="402"/>
      <c r="O7" s="402"/>
      <c r="P7" s="402"/>
      <c r="Q7" s="402"/>
    </row>
    <row r="8" spans="2:33" ht="13.9"/>
    <row r="9" spans="2:33" ht="19.899999999999999" customHeight="1" thickBot="1"/>
    <row r="10" spans="2:33" ht="31.5" customHeight="1" thickBot="1">
      <c r="B10" s="132"/>
      <c r="C10" s="132"/>
      <c r="D10" s="966" t="s">
        <v>334</v>
      </c>
      <c r="E10" s="968"/>
      <c r="F10" s="966" t="s">
        <v>305</v>
      </c>
      <c r="G10" s="968"/>
      <c r="H10" s="966" t="s">
        <v>306</v>
      </c>
      <c r="I10" s="968"/>
      <c r="J10" s="966" t="s">
        <v>193</v>
      </c>
      <c r="K10" s="967"/>
      <c r="L10" s="968"/>
      <c r="M10" s="966" t="s">
        <v>258</v>
      </c>
      <c r="N10" s="967"/>
      <c r="O10" s="967"/>
      <c r="P10" s="967"/>
      <c r="Q10" s="967"/>
      <c r="R10" s="968"/>
      <c r="S10" s="966" t="s">
        <v>284</v>
      </c>
      <c r="T10" s="967"/>
      <c r="U10" s="967"/>
      <c r="V10" s="968"/>
      <c r="W10" s="969" t="s">
        <v>335</v>
      </c>
      <c r="X10" s="957" t="s">
        <v>198</v>
      </c>
      <c r="Y10" s="958"/>
    </row>
    <row r="11" spans="2:33" ht="41.45">
      <c r="B11" s="135" t="s">
        <v>286</v>
      </c>
      <c r="C11" s="136" t="s">
        <v>336</v>
      </c>
      <c r="D11" s="200" t="s">
        <v>308</v>
      </c>
      <c r="E11" s="358" t="s">
        <v>327</v>
      </c>
      <c r="F11" s="303" t="s">
        <v>191</v>
      </c>
      <c r="G11" s="201" t="s">
        <v>208</v>
      </c>
      <c r="H11" s="367" t="s">
        <v>192</v>
      </c>
      <c r="I11" s="201" t="s">
        <v>208</v>
      </c>
      <c r="J11" s="367" t="s">
        <v>193</v>
      </c>
      <c r="K11" s="200" t="s">
        <v>193</v>
      </c>
      <c r="L11" s="201" t="s">
        <v>261</v>
      </c>
      <c r="M11" s="367" t="s">
        <v>337</v>
      </c>
      <c r="N11" s="200" t="s">
        <v>263</v>
      </c>
      <c r="O11" s="200" t="s">
        <v>264</v>
      </c>
      <c r="P11" s="200" t="s">
        <v>265</v>
      </c>
      <c r="Q11" s="200" t="s">
        <v>266</v>
      </c>
      <c r="R11" s="201" t="s">
        <v>267</v>
      </c>
      <c r="S11" s="367" t="s">
        <v>268</v>
      </c>
      <c r="T11" s="200" t="s">
        <v>338</v>
      </c>
      <c r="U11" s="200" t="s">
        <v>270</v>
      </c>
      <c r="V11" s="201" t="s">
        <v>271</v>
      </c>
      <c r="W11" s="981"/>
      <c r="X11" s="141" t="s">
        <v>217</v>
      </c>
      <c r="Y11" s="358" t="s">
        <v>218</v>
      </c>
      <c r="AG11" s="131" t="s">
        <v>202</v>
      </c>
    </row>
    <row r="12" spans="2:33" ht="27.6">
      <c r="B12" s="367">
        <v>1</v>
      </c>
      <c r="C12" s="203"/>
      <c r="D12" s="82" t="s">
        <v>119</v>
      </c>
      <c r="E12" s="70">
        <v>0.69</v>
      </c>
      <c r="F12" s="552" t="str">
        <f>IF(D12="","",VLOOKUP(D12,'G-6 Hedgerow Data'!$B$2:$AG$15,2,FALSE))</f>
        <v>Low</v>
      </c>
      <c r="G12" s="498">
        <f>IF(D12="","",VLOOKUP(D12,'G-6 Hedgerow Data'!$B$2:$AG$15,3,FALSE))</f>
        <v>2</v>
      </c>
      <c r="H12" s="145" t="s">
        <v>23</v>
      </c>
      <c r="I12" s="498">
        <f>IFERROR(VLOOKUP(H12,'G-1 All Habitats'!$Z$2:$AA$9,2,FALSE),"")</f>
        <v>3</v>
      </c>
      <c r="J12" s="145" t="s">
        <v>232</v>
      </c>
      <c r="K12" s="506" t="str">
        <f>IF(J12="","",IF(VLOOKUP(J12,'G-3 Multipliers'!$L$3:$N$6,2,FALSE)=0,"Spatial Data Missing ⚠",VLOOKUP(J12,'G-3 Multipliers'!$L$3:$N$6,2,FALSE)))</f>
        <v>Low Strategic Significance</v>
      </c>
      <c r="L12" s="504">
        <f>IF(J12="","",IF(VLOOKUP(J12,'G-3 Multipliers'!$L$3:$N$6,3,FALSE)=0,"Spatial Data Missing ⚠",VLOOKUP(J12,'G-3 Multipliers'!$L$3:$N$6,3,FALSE)))</f>
        <v>1</v>
      </c>
      <c r="M12" s="497" t="str">
        <f>IF(OR(D12="",H12=""),"",(INDEX('G-6 Hedgerow Data'!$E$3:$I$15,MATCH(D12,'G-6 Hedgerow Data'!$B$3:$B$15,0),MATCH(H12,'G-6 Hedgerow Data'!$E$2:$I$2,0))))</f>
        <v>30+</v>
      </c>
      <c r="N12" s="195">
        <v>0</v>
      </c>
      <c r="O12" s="195">
        <v>4</v>
      </c>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520" t="str">
        <f>IF(M12="","",IF(LEFT(P12,5)="Error ▲","Check Data ⚠",IF(OR(N12="30+",N12="Habitat already in target condition"),0,IF(O12="30+","30+",IF(AND(M12="30+",OR(N12="",N12=0)),"30+",IF(AND(M12="30+",N12&gt;0),32-N12,IF(M12+O12&gt;30,"30+",IF(M12+O12-N12&gt;0,M12+O12-N12,IF(M12-N12&lt;0,0,M12+O12-N12)))))))))</f>
        <v>30+</v>
      </c>
      <c r="R12" s="521">
        <f>IF(M12="","",IF(LEFT(P12,5)="Error ▲","Check Data ⚠",VLOOKUP(Q12,TemporalMultipliers,3,FALSE)))</f>
        <v>0.31979673609999998</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1.3239584874539998</v>
      </c>
      <c r="X12" s="149"/>
      <c r="Y12" s="150"/>
      <c r="AG12" s="31" t="str">
        <f>IFERROR(INDEX('G-6 Hedgerow Data'!$BJ$3:$BJ$15,MATCH(D12,'G-6 Hedgerow Data'!$B$3:$B$15,0)),"")</f>
        <v>Hedgecond1</v>
      </c>
    </row>
    <row r="13" spans="2:33" ht="13.9">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3.9">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3.9">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3.9">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3.9">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3.9">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3.9">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3.9">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3.9">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3.9">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3.9">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3.9">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3.9">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3.9">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3.9">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3.9">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3.9">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3.9">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3.9">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3.9">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3.9">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3.9">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3.9">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3.9">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3.9">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3.9">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3.9">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3.9">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3.9">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3.9">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3.9">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3.9">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3.9">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3.9">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3.9">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3.9">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3.9">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3.9">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3.9">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3.9">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3.9">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3.9">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3.9">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3.9">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3.9">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3.9">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3.9">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3.9">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3.9">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3.9">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3.9">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3.9">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3.9">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3.9">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3.9">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3.9">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3.9">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3.9">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3.9">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3.9">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3.9">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3.9">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3.9">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3.9">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3.9">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3.9">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3.9">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3.9">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3.9">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3.9">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3.9">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3.9">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3.9">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3.9">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3.9">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3.9">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3.9">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3.9">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3.9">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3.9">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3.9">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3.9">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3.9">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3.9">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3.9">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3.9">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3.9">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3.9">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3.9">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3.9">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3.9">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3.9">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3.9">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3.9">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3.9">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3.9">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3.9">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3.9">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3.9">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3.9">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3.9">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3.9">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3.9">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3.9">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3.9">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3.9">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3.9">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3.9">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3.9">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3.9">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3.9">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3.9">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3.9">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3.9">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3.9">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3.9">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3.9">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3.9">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3.9">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3.9">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3.9">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3.9">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3.9">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3.9">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3.9">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3.9">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3.9">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3.9">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3.9">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3.9">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3.9">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3.9">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3.9">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3.9">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3.9">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3.9">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3.9">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3.9">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3.9">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3.9">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3.9">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3.9">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3.9">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3.9">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3.9">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3.9">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3.9">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3.9">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3.9">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3.9">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3.9">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3.9">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3.9">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3.9">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3.9">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3.9">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3.9">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3.9">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3.9">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3.9">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3.9">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3.9">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3.9">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3.9">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3.9">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3.9">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3.9">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3.9">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3.9">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3.9">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3.9">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3.9">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3.9">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3.9">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3.9">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3.9">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3.9">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3.9">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3.9">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3.9">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3.9">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3.9">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3.9">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3.9">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3.9">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3.9">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3.9">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3.9">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3.9">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3.9">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3.9">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3.9">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3.9">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3.9">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3.9">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3.9">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3.9">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3.9">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3.9">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3.9">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3.9">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3.9">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3.9">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3.9">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3.9">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3.9">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3.9">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3.9">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3.9">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3.9">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3.9">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3.9">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3.9">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3.9">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3.9">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3.9">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3.9">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3.9">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3.9">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3.9">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3.9">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3.9">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3.9">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3.9">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3.9">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3.9">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3.9">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3.9">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3.9">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3.9">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3.9">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3.9">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3.9">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3.9">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3.9">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3.9">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3.9">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3.9">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3.9">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3.9">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3.9">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3.9">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3.9">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3.9">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3.9">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3.9">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45" thickBot="1">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c r="B260" s="46"/>
      <c r="C260" s="46"/>
      <c r="D260" s="276"/>
      <c r="E260" s="502">
        <f>SUM(E12:E259)</f>
        <v>0.69</v>
      </c>
      <c r="F260" s="46"/>
      <c r="G260" s="46"/>
      <c r="H260" s="46"/>
      <c r="I260" s="46"/>
      <c r="J260" s="46"/>
      <c r="K260" s="46"/>
      <c r="L260" s="46"/>
      <c r="M260" s="46"/>
      <c r="N260" s="46"/>
      <c r="O260" s="46"/>
      <c r="P260" s="46"/>
      <c r="Q260" s="46"/>
      <c r="R260" s="46"/>
      <c r="S260" s="46"/>
      <c r="T260" s="46"/>
      <c r="U260" s="982"/>
      <c r="V260" s="983"/>
      <c r="W260" s="502">
        <f>SUM(W12:W259)</f>
        <v>1.3239584874539998</v>
      </c>
      <c r="X260" s="46"/>
      <c r="Y260" s="46"/>
    </row>
    <row r="261" spans="2:33" ht="28.9" customHeight="1">
      <c r="E261" s="980"/>
      <c r="F261" s="980"/>
      <c r="G261" s="980"/>
      <c r="H261" s="980"/>
      <c r="I261" s="980"/>
      <c r="J261" s="980"/>
    </row>
    <row r="262" spans="2:33" ht="27" customHeight="1"/>
    <row r="263" spans="2:33" ht="13.9"/>
    <row r="264" spans="2:33" ht="13.9"/>
    <row r="265" spans="2:33" ht="13.9"/>
    <row r="266" spans="2:33" ht="13.9"/>
    <row r="267" spans="2:33" ht="13.9"/>
    <row r="268" spans="2:33" ht="13.9"/>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pane="bottomLeft" activeCell="A13" sqref="A13"/>
      <selection activeCell="S28" sqref="S28"/>
    </sheetView>
  </sheetViews>
  <sheetFormatPr defaultColWidth="0" defaultRowHeight="0" customHeight="1" zeroHeight="1"/>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row r="2" spans="2:46" ht="19.899999999999999" customHeight="1" thickBot="1">
      <c r="B2" s="986" t="str">
        <f>IF(Start!F12="","",Start!F12)</f>
        <v>Lea Castle Farm</v>
      </c>
      <c r="C2" s="987"/>
      <c r="D2" s="988"/>
      <c r="O2" s="132"/>
      <c r="X2" s="908" t="str">
        <f ca="1">IF(OR(COUNTIF($X$12:X257,"*30+*")&gt;0,COUNTIF($AB$12:AB257,"*30+*")&gt;0),"Note; Habitat selected has a time to target condition greater than 30 years. Non standard agreement may be required.","")</f>
        <v/>
      </c>
      <c r="Y2" s="908"/>
      <c r="Z2" s="908"/>
      <c r="AA2" s="908"/>
      <c r="AB2" s="908"/>
      <c r="AC2" s="908"/>
    </row>
    <row r="3" spans="2:46" ht="21" customHeight="1">
      <c r="B3" s="940" t="e">
        <f ca="1">MID(CELL("filename",A1),FIND("]",CELL("filename",A1))+1,256)</f>
        <v>#VALUE!</v>
      </c>
      <c r="C3" s="941"/>
      <c r="D3" s="942"/>
      <c r="X3" s="908"/>
      <c r="Y3" s="908"/>
      <c r="Z3" s="908"/>
      <c r="AA3" s="908"/>
      <c r="AB3" s="908"/>
      <c r="AC3" s="908"/>
    </row>
    <row r="4" spans="2:46" ht="15.75" customHeight="1" thickBot="1">
      <c r="B4" s="943"/>
      <c r="C4" s="944"/>
      <c r="D4" s="945"/>
      <c r="V4" s="33"/>
      <c r="W4" s="193"/>
      <c r="X4" s="908"/>
      <c r="Y4" s="908"/>
      <c r="Z4" s="908"/>
      <c r="AA4" s="908"/>
      <c r="AB4" s="908"/>
      <c r="AC4" s="908"/>
      <c r="AD4" s="193"/>
      <c r="AE4" s="193"/>
      <c r="AF4" s="193"/>
      <c r="AG4" s="193"/>
      <c r="AH4" s="193"/>
      <c r="AI4" s="193"/>
      <c r="AJ4" s="193"/>
    </row>
    <row r="5" spans="2:46" ht="15.75" customHeight="1">
      <c r="X5" s="402"/>
      <c r="Y5" s="402"/>
      <c r="Z5" s="402"/>
      <c r="AA5" s="402"/>
      <c r="AB5" s="402"/>
    </row>
    <row r="6" spans="2:46" ht="15.75" customHeight="1">
      <c r="X6" s="402"/>
      <c r="Y6" s="402"/>
      <c r="Z6" s="402"/>
      <c r="AA6" s="402"/>
      <c r="AB6" s="402"/>
    </row>
    <row r="7" spans="2:46" ht="13.9">
      <c r="B7" s="132"/>
      <c r="C7" s="132"/>
      <c r="M7" s="131"/>
    </row>
    <row r="8" spans="2:46" ht="19.899999999999999" customHeight="1" thickBot="1"/>
    <row r="9" spans="2:46" ht="14.45" thickBot="1">
      <c r="C9" s="131"/>
      <c r="D9" s="131"/>
      <c r="E9" s="131"/>
      <c r="F9" s="131"/>
      <c r="G9" s="131"/>
      <c r="H9" s="131"/>
      <c r="I9" s="131"/>
      <c r="J9" s="131"/>
      <c r="K9" s="131"/>
      <c r="L9" s="131"/>
      <c r="M9" s="989" t="s">
        <v>255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c r="B10" s="197"/>
      <c r="C10" s="985" t="s">
        <v>339</v>
      </c>
      <c r="D10" s="985"/>
      <c r="E10" s="985"/>
      <c r="F10" s="985"/>
      <c r="G10" s="985"/>
      <c r="H10" s="985"/>
      <c r="I10" s="985"/>
      <c r="J10" s="985"/>
      <c r="K10" s="985"/>
      <c r="L10" s="985"/>
      <c r="M10" s="938" t="s">
        <v>340</v>
      </c>
      <c r="N10" s="992" t="s">
        <v>341</v>
      </c>
      <c r="O10" s="992"/>
      <c r="P10" s="938" t="s">
        <v>327</v>
      </c>
      <c r="Q10" s="879" t="s">
        <v>191</v>
      </c>
      <c r="R10" s="877"/>
      <c r="S10" s="955" t="s">
        <v>192</v>
      </c>
      <c r="T10" s="877"/>
      <c r="U10" s="949" t="s">
        <v>193</v>
      </c>
      <c r="V10" s="949"/>
      <c r="W10" s="949"/>
      <c r="X10" s="966" t="s">
        <v>258</v>
      </c>
      <c r="Y10" s="967"/>
      <c r="Z10" s="967"/>
      <c r="AA10" s="967"/>
      <c r="AB10" s="967"/>
      <c r="AC10" s="968"/>
      <c r="AD10" s="939" t="s">
        <v>284</v>
      </c>
      <c r="AE10" s="939"/>
      <c r="AF10" s="939"/>
      <c r="AG10" s="939"/>
      <c r="AH10" s="939" t="s">
        <v>335</v>
      </c>
      <c r="AI10" s="958" t="s">
        <v>198</v>
      </c>
      <c r="AJ10" s="949"/>
    </row>
    <row r="11" spans="2:46" ht="61.5" customHeight="1">
      <c r="B11" s="135" t="s">
        <v>286</v>
      </c>
      <c r="C11" s="136" t="s">
        <v>287</v>
      </c>
      <c r="D11" s="136" t="s">
        <v>327</v>
      </c>
      <c r="E11" s="136" t="s">
        <v>289</v>
      </c>
      <c r="F11" s="136" t="s">
        <v>290</v>
      </c>
      <c r="G11" s="136" t="s">
        <v>291</v>
      </c>
      <c r="H11" s="136" t="s">
        <v>292</v>
      </c>
      <c r="I11" s="136" t="s">
        <v>293</v>
      </c>
      <c r="J11" s="136" t="s">
        <v>294</v>
      </c>
      <c r="K11" s="136" t="s">
        <v>295</v>
      </c>
      <c r="L11" s="137" t="s">
        <v>342</v>
      </c>
      <c r="M11" s="939"/>
      <c r="N11" s="367" t="s">
        <v>343</v>
      </c>
      <c r="O11" s="201" t="s">
        <v>344</v>
      </c>
      <c r="P11" s="939"/>
      <c r="Q11" s="141" t="s">
        <v>191</v>
      </c>
      <c r="R11" s="358" t="s">
        <v>208</v>
      </c>
      <c r="S11" s="368" t="s">
        <v>192</v>
      </c>
      <c r="T11" s="358" t="s">
        <v>208</v>
      </c>
      <c r="U11" s="367" t="s">
        <v>193</v>
      </c>
      <c r="V11" s="200" t="s">
        <v>193</v>
      </c>
      <c r="W11" s="201" t="s">
        <v>261</v>
      </c>
      <c r="X11" s="367" t="s">
        <v>337</v>
      </c>
      <c r="Y11" s="200" t="s">
        <v>300</v>
      </c>
      <c r="Z11" s="200" t="s">
        <v>301</v>
      </c>
      <c r="AA11" s="200" t="s">
        <v>265</v>
      </c>
      <c r="AB11" s="200" t="s">
        <v>266</v>
      </c>
      <c r="AC11" s="201" t="s">
        <v>345</v>
      </c>
      <c r="AD11" s="367" t="s">
        <v>346</v>
      </c>
      <c r="AE11" s="200" t="s">
        <v>338</v>
      </c>
      <c r="AF11" s="200" t="s">
        <v>347</v>
      </c>
      <c r="AG11" s="201" t="s">
        <v>271</v>
      </c>
      <c r="AH11" s="984"/>
      <c r="AI11" s="368" t="s">
        <v>217</v>
      </c>
      <c r="AJ11" s="358" t="s">
        <v>218</v>
      </c>
      <c r="AT11" s="131" t="s">
        <v>202</v>
      </c>
    </row>
    <row r="12" spans="2:46" ht="27.6">
      <c r="B12" s="530">
        <f>'B-1 Site Hedge Baseline'!AK10</f>
        <v>1</v>
      </c>
      <c r="C12" s="519" t="str">
        <f ca="1">IF(B12="","",IF(ISNA(VLOOKUP($B12,'B-1 Site Hedge Baseline'!$B$1:$L$257,3,FALSE)),"",(VLOOKUP($B12,'B-1 Site Hedge Baseline'!$B$1:$L$257,3,FALSE))))</f>
        <v>Native Hedgerow</v>
      </c>
      <c r="D12" s="519">
        <f ca="1">IF(B12="","",IF(ISNA(VLOOKUP($B12,'B-1 Site Hedge Baseline'!$B$1:$L$257,4,FALSE)),"",(VLOOKUP($B12,'B-1 Site Hedge Baseline'!$B$1:$L$257,4,FALSE))))</f>
        <v>0.33500000000000002</v>
      </c>
      <c r="E12" s="519" t="str">
        <f ca="1">IF(B12="","",IF(ISNA(VLOOKUP($B12,'B-1 Site Hedge Baseline'!$B$1:$L$257,5,FALSE)),"",(VLOOKUP($B12,'B-1 Site Hedge Baseline'!$B$1:$L$257,5,FALSE))))</f>
        <v>Low</v>
      </c>
      <c r="F12" s="519">
        <f ca="1">IF(B12="","",IF(ISNA(VLOOKUP($B12,'B-1 Site Hedge Baseline'!$B$1:$L$257,6,FALSE)),"",(VLOOKUP($B12,'B-1 Site Hedge Baseline'!$B$1:$L$257,6,FALSE))))</f>
        <v>2</v>
      </c>
      <c r="G12" s="519" t="str">
        <f ca="1">IF(B12="","",IF(ISNA(VLOOKUP($B12,'B-1 Site Hedge Baseline'!$B$1:$L$257,7,FALSE)),"",(VLOOKUP($B12,'B-1 Site Hedge Baseline'!$B$1:$L$257,7,FALSE))))</f>
        <v>Moderate</v>
      </c>
      <c r="H12" s="519">
        <f ca="1">IF(B12="","",IF(ISNA(VLOOKUP($B12,'B-1 Site Hedge Baseline'!$B$1:$L$257,8,FALSE)),"",(VLOOKUP($B12,'B-1 Site Hedge Baseline'!$B$1:$L$257,8,FALSE))))</f>
        <v>2</v>
      </c>
      <c r="I12" s="519" t="str">
        <f ca="1">IF(B12="","",IF(ISNA(VLOOKUP($B12,'B-1 Site Hedge Baseline'!$B$1:$L$257,10,FALSE)),"",(VLOOKUP($B12,'B-1 Site Hedge Baseline'!$B$1:$L$257,10,FALSE))))</f>
        <v>Low Strategic Significance</v>
      </c>
      <c r="J12" s="519">
        <f ca="1">IF(B12="","",IF(ISNA(VLOOKUP($B12,'B-1 Site Hedge Baseline'!$B$1:$L$257,11,FALSE)),"",(VLOOKUP($B12,'B-1 Site Hedge Baseline'!$B$1:$L$257,11,FALSE))))</f>
        <v>1</v>
      </c>
      <c r="K12" s="519">
        <f ca="1">IF(B12="","",IF(ISNA(VLOOKUP($B12,'B-1 Site Hedge Baseline'!$B$1:$U$257,13,FALSE)),"",(VLOOKUP($B12,'B-1 Site Hedge Baseline'!$B$1:$U$257,13,FALSE))))</f>
        <v>1.34</v>
      </c>
      <c r="L12" s="523" t="str">
        <f ca="1">IF(B12="","",IF(ISNA(VLOOKUP($B12,'B-1 Site Hedge Baseline'!$B$1:$U$257,12,FALSE)),"",(VLOOKUP($B12,'B-1 Site Hedge Baseline'!$B$1:$U$257,12,FALSE))))</f>
        <v>Same distinctiveness band or better</v>
      </c>
      <c r="M12" s="414" t="s">
        <v>113</v>
      </c>
      <c r="N12" s="497" t="str">
        <f ca="1">IFERROR(IF(B12="","",INDEX('G-6 Hedgerow Data'!$AN$3:$AZ$15,MATCH(C12,'G-6 Hedgerow Data'!$AM$3:$AM$15,0),MATCH(M12,'G-6 Hedgerow Data'!$AN$2:$AZ$2,0))),"")</f>
        <v>Low - Medium</v>
      </c>
      <c r="O12" s="498"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Lower Distinctiveness Habitat - Good</v>
      </c>
      <c r="P12" s="558">
        <f>IF(B12="","",VLOOKUP(B12,'B-1 Site Hedge Baseline'!$B$10:T257,16,FALSE))</f>
        <v>0.20100000000000001</v>
      </c>
      <c r="Q12" s="497" t="str">
        <f>IF(M12="","",VLOOKUP(M12,'G-6 Hedgerow Data'!$B$2:$AG$15,2,FALSE))</f>
        <v>Medium</v>
      </c>
      <c r="R12" s="498">
        <f>IF(M12="","",VLOOKUP(M12,'G-6 Hedgerow Data'!$B$2:$AG$15,3,FALSE))</f>
        <v>4</v>
      </c>
      <c r="S12" s="145" t="s">
        <v>23</v>
      </c>
      <c r="T12" s="539">
        <f>IFERROR(VLOOKUP(S12,'G-1 All Habitats'!$Z$2:$AA$9,2,FALSE),"")</f>
        <v>3</v>
      </c>
      <c r="U12" s="145" t="s">
        <v>232</v>
      </c>
      <c r="V12" s="519" t="str">
        <f>IF(U12="","",IF(VLOOKUP(U12,'G-3 Multipliers'!$L$3:$N$6,2,FALSE)=0,"Spatial Data Missing ⚠",VLOOKUP(U12,'G-3 Multipliers'!$L$3:$N$6,2,FALSE)))</f>
        <v>Low Strategic Significance</v>
      </c>
      <c r="W12" s="523">
        <f>IF(U12="","",IF(VLOOKUP(U12,'G-3 Multipliers'!$L$3:$N$6,3,FALSE)=0,"Spatial Data Missing ⚠",VLOOKUP(U12,'G-3 Multipliers'!$L$3:$N$6,3,FALSE)))</f>
        <v>1</v>
      </c>
      <c r="X12" s="497">
        <f ca="1">IFERROR(IF(OR(LEFT(O12,5)="Error ▲",LEFT(N12,5)="Error ▲",T12="Error ▲"),"Check Data ⚠",IF(F12&lt;R12,INDEX('G-6 Hedgerow Data'!$S$3:$AE$14,MATCH(C12,'G-6 Hedgerow Data'!$B$3:$B$14,0),MATCH(M12,'G-6 Hedgerow Data'!$S$2:$AE$2,0)),INDEX('G-6 Hedgerow Data'!$K$3:$Q$14,MATCH(M12,'G-6 Hedgerow Data'!$B$3:$B$14,0),MATCH(O12,'G-6 Hedgerow Data'!$K$2:$Q$2,0)))),"")</f>
        <v>5</v>
      </c>
      <c r="Y12" s="195">
        <v>0</v>
      </c>
      <c r="Z12" s="195">
        <v>4</v>
      </c>
      <c r="AA12" s="506"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Check details- Delay in starting habitat in required condition? ⚠</v>
      </c>
      <c r="AB12" s="520">
        <f ca="1">IF(X12="","",IF(AA12="Check Data ⚠","Check Data ⚠",IF(Y12="30+",0,IF(Z12="30+","30+ ⚠",IF(X12+Z12&gt;30,"30+ 'C-1 Site River Baseline'!",IF(LEFT(AA12,5)="Error ▲","Check Data ⚠",IF(X12+Z12-Y12&gt;0,X12+Z12-Y12,IF(X12-Y12&lt;=0,0,))))))))</f>
        <v>9</v>
      </c>
      <c r="AC12" s="521">
        <f t="shared" ref="AC12:AC75" ca="1" si="0">IF(OR(S12="",M12=""),"",IF(LEFT(AB12,5)="Error ▲","Check Data ⚠",IF(AB12="Check Data ⚠","Check Data ⚠",VLOOKUP(AB12,TemporalMultipliers,3,FALSE))))</f>
        <v>0.72568111310000005</v>
      </c>
      <c r="AD12" s="497" t="str">
        <f>IF(M12="","",VLOOKUP(M12,'G-6 Hedgerow Data'!$B$3:$AG$15,31,FALSE))</f>
        <v>Low</v>
      </c>
      <c r="AE12" s="506"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6" t="str">
        <f ca="1">(IF(AND(AE12="Standard difficulty applied",X12&gt;Y12),AD12,IF(AND(AE12="Low Difficulty - only applicable if all habitat created before losses ⚠",Y12&gt;=X12),"Low",AD12)))</f>
        <v>Low</v>
      </c>
      <c r="AG12" s="498">
        <f ca="1">IFERROR(IF(O12="","",VLOOKUP(AD12,'G-3 Multipliers'!$P$3:$Q$6,2,FALSE)),"")</f>
        <v>1</v>
      </c>
      <c r="AH12" s="512">
        <f ca="1">IFERROR(IF(OR(M12="",S12="",U12=""),"",(((((P12*R12*T12)-(P12*F12*H12))*(AG12*AC12))+(P12*F12*H12))*(W12))),"")</f>
        <v>1.9708952298648001</v>
      </c>
      <c r="AI12" s="418"/>
      <c r="AJ12" s="239"/>
      <c r="AT12" s="31" t="str">
        <f>IFERROR(INDEX('G-6 Hedgerow Data'!$BJ$3:$BJ$15,MATCH(M12,'G-6 Hedgerow Data'!$B$3:$B$15,0)),"")</f>
        <v>Hedgecond1</v>
      </c>
    </row>
    <row r="13" spans="2:46" ht="27.6">
      <c r="B13" s="530">
        <f>'B-1 Site Hedge Baseline'!AK11</f>
        <v>2</v>
      </c>
      <c r="C13" s="519" t="str">
        <f ca="1">IF(B13="","",IF(ISNA(VLOOKUP($B13,'B-1 Site Hedge Baseline'!$B$1:$L$257,3,FALSE)),"",(VLOOKUP($B13,'B-1 Site Hedge Baseline'!$B$1:$L$257,3,FALSE))))</f>
        <v>Native Hedgerow</v>
      </c>
      <c r="D13" s="519">
        <f ca="1">IF(B13="","",IF(ISNA(VLOOKUP($B13,'B-1 Site Hedge Baseline'!$B$1:$L$257,4,FALSE)),"",(VLOOKUP($B13,'B-1 Site Hedge Baseline'!$B$1:$L$257,4,FALSE))))</f>
        <v>0.34899999999999998</v>
      </c>
      <c r="E13" s="519" t="str">
        <f ca="1">IF(B13="","",IF(ISNA(VLOOKUP($B13,'B-1 Site Hedge Baseline'!$B$1:$L$257,5,FALSE)),"",(VLOOKUP($B13,'B-1 Site Hedge Baseline'!$B$1:$L$257,5,FALSE))))</f>
        <v>Low</v>
      </c>
      <c r="F13" s="519">
        <f ca="1">IF(B13="","",IF(ISNA(VLOOKUP($B13,'B-1 Site Hedge Baseline'!$B$1:$L$257,6,FALSE)),"",(VLOOKUP($B13,'B-1 Site Hedge Baseline'!$B$1:$L$257,6,FALSE))))</f>
        <v>2</v>
      </c>
      <c r="G13" s="519" t="str">
        <f ca="1">IF(B13="","",IF(ISNA(VLOOKUP($B13,'B-1 Site Hedge Baseline'!$B$1:$L$257,7,FALSE)),"",(VLOOKUP($B13,'B-1 Site Hedge Baseline'!$B$1:$L$257,7,FALSE))))</f>
        <v>Moderate</v>
      </c>
      <c r="H13" s="519">
        <f ca="1">IF(B13="","",IF(ISNA(VLOOKUP($B13,'B-1 Site Hedge Baseline'!$B$1:$L$257,8,FALSE)),"",(VLOOKUP($B13,'B-1 Site Hedge Baseline'!$B$1:$L$257,8,FALSE))))</f>
        <v>2</v>
      </c>
      <c r="I13" s="519" t="str">
        <f ca="1">IF(B13="","",IF(ISNA(VLOOKUP($B13,'B-1 Site Hedge Baseline'!$B$1:$L$257,10,FALSE)),"",(VLOOKUP($B13,'B-1 Site Hedge Baseline'!$B$1:$L$257,10,FALSE))))</f>
        <v>Low Strategic Significance</v>
      </c>
      <c r="J13" s="519">
        <f ca="1">IF(B13="","",IF(ISNA(VLOOKUP($B13,'B-1 Site Hedge Baseline'!$B$1:$L$257,11,FALSE)),"",(VLOOKUP($B13,'B-1 Site Hedge Baseline'!$B$1:$L$257,11,FALSE))))</f>
        <v>1</v>
      </c>
      <c r="K13" s="519">
        <f ca="1">IF(B13="","",IF(ISNA(VLOOKUP($B13,'B-1 Site Hedge Baseline'!$B$1:$U$257,13,FALSE)),"",(VLOOKUP($B13,'B-1 Site Hedge Baseline'!$B$1:$U$257,13,FALSE))))</f>
        <v>1.3959999999999999</v>
      </c>
      <c r="L13" s="523" t="str">
        <f ca="1">IF(B13="","",IF(ISNA(VLOOKUP($B13,'B-1 Site Hedge Baseline'!$B$1:$U$257,12,FALSE)),"",(VLOOKUP($B13,'B-1 Site Hedge Baseline'!$B$1:$U$257,12,FALSE))))</f>
        <v>Same distinctiveness band or better</v>
      </c>
      <c r="M13" s="414" t="s">
        <v>113</v>
      </c>
      <c r="N13" s="497" t="str">
        <f ca="1">IFERROR(IF(B13="","",INDEX('G-6 Hedgerow Data'!$AN$3:$AZ$15,MATCH(C13,'G-6 Hedgerow Data'!$AM$3:$AM$15,0),MATCH(M13,'G-6 Hedgerow Data'!$AN$2:$AZ$2,0))),"")</f>
        <v>Low - Medium</v>
      </c>
      <c r="O13" s="498" t="str">
        <f t="shared" ref="O13:O76" ca="1"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Lower Distinctiveness Habitat - Good</v>
      </c>
      <c r="P13" s="558">
        <f>IF(B13="","",VLOOKUP(B13,'B-1 Site Hedge Baseline'!$B$10:T258,16,FALSE))</f>
        <v>0.24299999999999999</v>
      </c>
      <c r="Q13" s="497" t="str">
        <f>IF(M13="","",VLOOKUP(M13,'G-6 Hedgerow Data'!$B$2:$AG$15,2,FALSE))</f>
        <v>Medium</v>
      </c>
      <c r="R13" s="498">
        <f>IF(M13="","",VLOOKUP(M13,'G-6 Hedgerow Data'!$B$2:$AG$15,3,FALSE))</f>
        <v>4</v>
      </c>
      <c r="S13" s="145" t="s">
        <v>23</v>
      </c>
      <c r="T13" s="539">
        <f>IFERROR(VLOOKUP(S13,'G-1 All Habitats'!$Z$2:$AA$9,2,FALSE),"")</f>
        <v>3</v>
      </c>
      <c r="U13" s="145" t="s">
        <v>232</v>
      </c>
      <c r="V13" s="519" t="str">
        <f>IF(U13="","",IF(VLOOKUP(U13,'G-3 Multipliers'!$L$3:$N$6,2,FALSE)=0,"Spatial Data Missing ⚠",VLOOKUP(U13,'G-3 Multipliers'!$L$3:$N$6,2,FALSE)))</f>
        <v>Low Strategic Significance</v>
      </c>
      <c r="W13" s="523">
        <f>IF(U13="","",IF(VLOOKUP(U13,'G-3 Multipliers'!$L$3:$N$6,3,FALSE)=0,"Spatial Data Missing ⚠",VLOOKUP(U13,'G-3 Multipliers'!$L$3:$N$6,3,FALSE)))</f>
        <v>1</v>
      </c>
      <c r="X13" s="497">
        <f ca="1">IFERROR(IF(OR(LEFT(O13,5)="Error ▲",LEFT(N13,5)="Error ▲",T13="Error ▲"),"Check Data ⚠",IF(F13&lt;R13,INDEX('G-6 Hedgerow Data'!$S$3:$AE$14,MATCH(C13,'G-6 Hedgerow Data'!$B$3:$B$14,0),MATCH(M13,'G-6 Hedgerow Data'!$S$2:$AE$2,0)),INDEX('G-6 Hedgerow Data'!$K$3:$Q$14,MATCH(M13,'G-6 Hedgerow Data'!$B$3:$B$14,0),MATCH(O13,'G-6 Hedgerow Data'!$K$2:$Q$2,0)))),"")</f>
        <v>5</v>
      </c>
      <c r="Y13" s="195">
        <v>0</v>
      </c>
      <c r="Z13" s="195">
        <v>4</v>
      </c>
      <c r="AA13" s="506"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Check details- Delay in starting habitat in required condition? ⚠</v>
      </c>
      <c r="AB13" s="520">
        <f t="shared" ref="AB13:AB76" ca="1" si="3">IF(X13="","",IF(AA13="Check Data ⚠","Check Data ⚠",IF(Y13="30+",0,IF(Z13="30+","30+ ⚠",IF(X13+Z13&gt;30,"30+ ⚠",IF(LEFT(AA13,5)="Error ▲","Check Data ⚠",IF(X13+Z13-Y13&gt;0,X13+Z13-Y13,IF(X13-Y13&lt;=0,0,))))))))</f>
        <v>9</v>
      </c>
      <c r="AC13" s="521">
        <f t="shared" ca="1" si="0"/>
        <v>0.72568111310000005</v>
      </c>
      <c r="AD13" s="536" t="str">
        <f>IF(M13="","",VLOOKUP(M13,'G-6 Hedgerow Data'!$B$3:$AG$15,31,FALSE))</f>
        <v>Low</v>
      </c>
      <c r="AE13" s="506"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506" t="str">
        <f t="shared" ref="AF13:AF76" ca="1" si="5">(IF(AND(AE13="Standard difficulty applied",X13&gt;Y13),AD13,IF(AND(AE13="Low Difficulty - only applicable if all habitat created before losses ⚠",Y13&gt;=X13),"Low",AD13)))</f>
        <v>Low</v>
      </c>
      <c r="AG13" s="523">
        <f ca="1">IFERROR(IF(O13="","",VLOOKUP(AD13,'G-3 Multipliers'!$P$3:$Q$6,2,FALSE)),"")</f>
        <v>1</v>
      </c>
      <c r="AH13" s="512">
        <f t="shared" ref="AH13:AH75" ca="1" si="6">IFERROR(IF(OR(M13="",S13="",U13=""),"",(((((P13*R13*T13)-(P13*F13*H13))*(AG13*AC13))+(P13*F13*H13))*(W13))),"")</f>
        <v>2.3827240838664001</v>
      </c>
      <c r="AI13" s="418"/>
      <c r="AJ13" s="239"/>
      <c r="AT13" s="31" t="str">
        <f>IFERROR(INDEX('G-6 Hedgerow Data'!$BJ$3:$BJ$15,MATCH(M13,'G-6 Hedgerow Data'!$B$3:$B$15,0)),"")</f>
        <v>Hedgecond1</v>
      </c>
    </row>
    <row r="14" spans="2:46" ht="13.9">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ref="M14:M77" si="7">IF(B14="","",C14)</f>
        <v/>
      </c>
      <c r="N14" s="497" t="str">
        <f>IFERROR(IF(B14="","",INDEX('G-6 Hedgerow Data'!$AN$3:$AZ$15,MATCH(C14,'G-6 Hedgerow Data'!$AM$3:$AM$15,0),MATCH(M14,'G-6 Hedgerow Data'!$AN$2:$AZ$2,0))),"")</f>
        <v/>
      </c>
      <c r="O14" s="498" t="str">
        <f t="shared" si="1"/>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2"/>
        <v/>
      </c>
      <c r="AB14" s="520" t="str">
        <f t="shared" si="3"/>
        <v/>
      </c>
      <c r="AC14" s="521" t="str">
        <f t="shared" si="0"/>
        <v/>
      </c>
      <c r="AD14" s="536" t="str">
        <f>IF(M14="","",VLOOKUP(M14,'G-6 Hedgerow Data'!$B$3:$AG$15,31,FALSE))</f>
        <v/>
      </c>
      <c r="AE14" s="506" t="str">
        <f t="shared" si="4"/>
        <v/>
      </c>
      <c r="AF14" s="506" t="str">
        <f t="shared" si="5"/>
        <v/>
      </c>
      <c r="AG14" s="523" t="str">
        <f>IFERROR(IF(O14="","",VLOOKUP(AD14,'G-3 Multipliers'!$P$3:$Q$6,2,FALSE)),"")</f>
        <v/>
      </c>
      <c r="AH14" s="512" t="str">
        <f t="shared" si="6"/>
        <v/>
      </c>
      <c r="AI14" s="418"/>
      <c r="AJ14" s="239"/>
      <c r="AT14" s="31" t="str">
        <f>IFERROR(INDEX('G-6 Hedgerow Data'!$BJ$3:$BJ$15,MATCH(M14,'G-6 Hedgerow Data'!$B$3:$B$15,0)),"")</f>
        <v/>
      </c>
    </row>
    <row r="15" spans="2:46" ht="13.9">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7"/>
        <v/>
      </c>
      <c r="N15" s="497" t="str">
        <f>IFERROR(IF(B15="","",INDEX('G-6 Hedgerow Data'!$AN$3:$AZ$15,MATCH(C15,'G-6 Hedgerow Data'!$AM$3:$AM$15,0),MATCH(M15,'G-6 Hedgerow Data'!$AN$2:$AZ$2,0))),"")</f>
        <v/>
      </c>
      <c r="O15" s="498" t="str">
        <f t="shared" si="1"/>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2"/>
        <v/>
      </c>
      <c r="AB15" s="520" t="str">
        <f t="shared" si="3"/>
        <v/>
      </c>
      <c r="AC15" s="521" t="str">
        <f t="shared" si="0"/>
        <v/>
      </c>
      <c r="AD15" s="536" t="str">
        <f>IF(M15="","",VLOOKUP(M15,'G-6 Hedgerow Data'!$B$3:$AG$15,31,FALSE))</f>
        <v/>
      </c>
      <c r="AE15" s="506" t="str">
        <f t="shared" si="4"/>
        <v/>
      </c>
      <c r="AF15" s="506" t="str">
        <f t="shared" si="5"/>
        <v/>
      </c>
      <c r="AG15" s="523" t="str">
        <f>IFERROR(IF(O15="","",VLOOKUP(AD15,'G-3 Multipliers'!$P$3:$Q$6,2,FALSE)),"")</f>
        <v/>
      </c>
      <c r="AH15" s="512" t="str">
        <f t="shared" si="6"/>
        <v/>
      </c>
      <c r="AI15" s="418"/>
      <c r="AJ15" s="239"/>
      <c r="AT15" s="31" t="str">
        <f>IFERROR(INDEX('G-6 Hedgerow Data'!$BJ$3:$BJ$15,MATCH(M15,'G-6 Hedgerow Data'!$B$3:$B$15,0)),"")</f>
        <v/>
      </c>
    </row>
    <row r="16" spans="2:46" ht="13.9">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7"/>
        <v/>
      </c>
      <c r="N16" s="497" t="str">
        <f>IFERROR(IF(B16="","",INDEX('G-6 Hedgerow Data'!$AN$3:$AZ$15,MATCH(C16,'G-6 Hedgerow Data'!$AM$3:$AM$15,0),MATCH(M16,'G-6 Hedgerow Data'!$AN$2:$AZ$2,0))),"")</f>
        <v/>
      </c>
      <c r="O16" s="498" t="str">
        <f t="shared" si="1"/>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2"/>
        <v/>
      </c>
      <c r="AB16" s="520" t="str">
        <f t="shared" si="3"/>
        <v/>
      </c>
      <c r="AC16" s="521" t="str">
        <f t="shared" si="0"/>
        <v/>
      </c>
      <c r="AD16" s="536" t="str">
        <f>IF(M16="","",VLOOKUP(M16,'G-6 Hedgerow Data'!$B$3:$AG$15,31,FALSE))</f>
        <v/>
      </c>
      <c r="AE16" s="506" t="str">
        <f t="shared" si="4"/>
        <v/>
      </c>
      <c r="AF16" s="506" t="str">
        <f t="shared" si="5"/>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3.9">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7"/>
        <v/>
      </c>
      <c r="N17" s="497" t="str">
        <f>IFERROR(IF(B17="","",INDEX('G-6 Hedgerow Data'!$AN$3:$AZ$15,MATCH(C17,'G-6 Hedgerow Data'!$AM$3:$AM$15,0),MATCH(M17,'G-6 Hedgerow Data'!$AN$2:$AZ$2,0))),"")</f>
        <v/>
      </c>
      <c r="O17" s="498" t="str">
        <f t="shared" si="1"/>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2"/>
        <v/>
      </c>
      <c r="AB17" s="520" t="str">
        <f t="shared" si="3"/>
        <v/>
      </c>
      <c r="AC17" s="521" t="str">
        <f t="shared" si="0"/>
        <v/>
      </c>
      <c r="AD17" s="536" t="str">
        <f>IF(M17="","",VLOOKUP(M17,'G-6 Hedgerow Data'!$B$3:$AG$15,31,FALSE))</f>
        <v/>
      </c>
      <c r="AE17" s="506" t="str">
        <f t="shared" si="4"/>
        <v/>
      </c>
      <c r="AF17" s="506" t="str">
        <f t="shared" si="5"/>
        <v/>
      </c>
      <c r="AG17" s="523" t="str">
        <f>IFERROR(IF(O17="","",VLOOKUP(AD17,'G-3 Multipliers'!$P$3:$Q$6,2,FALSE)),"")</f>
        <v/>
      </c>
      <c r="AH17" s="512" t="str">
        <f t="shared" si="6"/>
        <v/>
      </c>
      <c r="AI17" s="230"/>
      <c r="AJ17" s="150"/>
      <c r="AT17" s="31" t="str">
        <f>IFERROR(INDEX('G-6 Hedgerow Data'!$BJ$3:$BJ$15,MATCH(M17,'G-6 Hedgerow Data'!$B$3:$B$15,0)),"")</f>
        <v/>
      </c>
    </row>
    <row r="18" spans="2:46" ht="13.9">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7"/>
        <v/>
      </c>
      <c r="N18" s="497" t="str">
        <f>IFERROR(IF(B18="","",INDEX('G-6 Hedgerow Data'!$AN$3:$AZ$15,MATCH(C18,'G-6 Hedgerow Data'!$AM$3:$AM$15,0),MATCH(M18,'G-6 Hedgerow Data'!$AN$2:$AZ$2,0))),"")</f>
        <v/>
      </c>
      <c r="O18" s="498" t="str">
        <f t="shared" si="1"/>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2"/>
        <v/>
      </c>
      <c r="AB18" s="520" t="str">
        <f t="shared" si="3"/>
        <v/>
      </c>
      <c r="AC18" s="521" t="str">
        <f t="shared" si="0"/>
        <v/>
      </c>
      <c r="AD18" s="536" t="str">
        <f>IF(M18="","",VLOOKUP(M18,'G-6 Hedgerow Data'!$B$3:$AG$15,31,FALSE))</f>
        <v/>
      </c>
      <c r="AE18" s="506" t="str">
        <f t="shared" si="4"/>
        <v/>
      </c>
      <c r="AF18" s="506" t="str">
        <f t="shared" si="5"/>
        <v/>
      </c>
      <c r="AG18" s="523" t="str">
        <f>IFERROR(IF(O18="","",VLOOKUP(AD18,'G-3 Multipliers'!$P$3:$Q$6,2,FALSE)),"")</f>
        <v/>
      </c>
      <c r="AH18" s="512" t="str">
        <f t="shared" si="6"/>
        <v/>
      </c>
      <c r="AI18" s="230"/>
      <c r="AJ18" s="150"/>
      <c r="AT18" s="31" t="str">
        <f>IFERROR(INDEX('G-6 Hedgerow Data'!$BJ$3:$BJ$15,MATCH(M18,'G-6 Hedgerow Data'!$B$3:$B$15,0)),"")</f>
        <v/>
      </c>
    </row>
    <row r="19" spans="2:46" ht="13.9">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1"/>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2"/>
        <v/>
      </c>
      <c r="AB19" s="520" t="str">
        <f t="shared" si="3"/>
        <v/>
      </c>
      <c r="AC19" s="521" t="str">
        <f t="shared" si="0"/>
        <v/>
      </c>
      <c r="AD19" s="536" t="str">
        <f>IF(M19="","",VLOOKUP(M19,'G-6 Hedgerow Data'!$B$3:$AG$15,31,FALSE))</f>
        <v/>
      </c>
      <c r="AE19" s="506" t="str">
        <f t="shared" si="4"/>
        <v/>
      </c>
      <c r="AF19" s="506" t="str">
        <f t="shared" si="5"/>
        <v/>
      </c>
      <c r="AG19" s="523" t="str">
        <f>IFERROR(IF(O19="","",VLOOKUP(AD19,'G-3 Multipliers'!$P$3:$Q$6,2,FALSE)),"")</f>
        <v/>
      </c>
      <c r="AH19" s="512" t="str">
        <f t="shared" si="6"/>
        <v/>
      </c>
      <c r="AI19" s="230"/>
      <c r="AJ19" s="150"/>
      <c r="AT19" s="31" t="str">
        <f>IFERROR(INDEX('G-6 Hedgerow Data'!$BJ$3:$BJ$15,MATCH(M19,'G-6 Hedgerow Data'!$B$3:$B$15,0)),"")</f>
        <v/>
      </c>
    </row>
    <row r="20" spans="2:46" ht="13.9">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1"/>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2"/>
        <v/>
      </c>
      <c r="AB20" s="520" t="str">
        <f t="shared" si="3"/>
        <v/>
      </c>
      <c r="AC20" s="521" t="str">
        <f t="shared" si="0"/>
        <v/>
      </c>
      <c r="AD20" s="536" t="str">
        <f>IF(M20="","",VLOOKUP(M20,'G-6 Hedgerow Data'!$B$3:$AG$15,31,FALSE))</f>
        <v/>
      </c>
      <c r="AE20" s="506" t="str">
        <f t="shared" si="4"/>
        <v/>
      </c>
      <c r="AF20" s="506" t="str">
        <f t="shared" si="5"/>
        <v/>
      </c>
      <c r="AG20" s="523" t="str">
        <f>IFERROR(IF(O20="","",VLOOKUP(AD20,'G-3 Multipliers'!$P$3:$Q$6,2,FALSE)),"")</f>
        <v/>
      </c>
      <c r="AH20" s="512" t="str">
        <f t="shared" si="6"/>
        <v/>
      </c>
      <c r="AI20" s="230"/>
      <c r="AJ20" s="150"/>
      <c r="AT20" s="31" t="str">
        <f>IFERROR(INDEX('G-6 Hedgerow Data'!$BJ$3:$BJ$15,MATCH(M20,'G-6 Hedgerow Data'!$B$3:$B$15,0)),"")</f>
        <v/>
      </c>
    </row>
    <row r="21" spans="2:46" ht="13.9">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1"/>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2"/>
        <v/>
      </c>
      <c r="AB21" s="520" t="str">
        <f t="shared" si="3"/>
        <v/>
      </c>
      <c r="AC21" s="521" t="str">
        <f t="shared" si="0"/>
        <v/>
      </c>
      <c r="AD21" s="536" t="str">
        <f>IF(M21="","",VLOOKUP(M21,'G-6 Hedgerow Data'!$B$3:$AG$15,31,FALSE))</f>
        <v/>
      </c>
      <c r="AE21" s="506" t="str">
        <f t="shared" si="4"/>
        <v/>
      </c>
      <c r="AF21" s="506" t="str">
        <f t="shared" si="5"/>
        <v/>
      </c>
      <c r="AG21" s="523" t="str">
        <f>IFERROR(IF(O21="","",VLOOKUP(AD21,'G-3 Multipliers'!$P$3:$Q$6,2,FALSE)),"")</f>
        <v/>
      </c>
      <c r="AH21" s="512" t="str">
        <f t="shared" si="6"/>
        <v/>
      </c>
      <c r="AI21" s="230"/>
      <c r="AJ21" s="150"/>
      <c r="AT21" s="31" t="str">
        <f>IFERROR(INDEX('G-6 Hedgerow Data'!$BJ$3:$BJ$15,MATCH(M21,'G-6 Hedgerow Data'!$B$3:$B$15,0)),"")</f>
        <v/>
      </c>
    </row>
    <row r="22" spans="2:46" ht="13.9">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1"/>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2"/>
        <v/>
      </c>
      <c r="AB22" s="520" t="str">
        <f t="shared" si="3"/>
        <v/>
      </c>
      <c r="AC22" s="521" t="str">
        <f t="shared" si="0"/>
        <v/>
      </c>
      <c r="AD22" s="536" t="str">
        <f>IF(M22="","",VLOOKUP(M22,'G-6 Hedgerow Data'!$B$3:$AG$15,31,FALSE))</f>
        <v/>
      </c>
      <c r="AE22" s="506" t="str">
        <f t="shared" si="4"/>
        <v/>
      </c>
      <c r="AF22" s="506" t="str">
        <f t="shared" si="5"/>
        <v/>
      </c>
      <c r="AG22" s="523" t="str">
        <f>IFERROR(IF(O22="","",VLOOKUP(AD22,'G-3 Multipliers'!$P$3:$Q$6,2,FALSE)),"")</f>
        <v/>
      </c>
      <c r="AH22" s="512" t="str">
        <f t="shared" si="6"/>
        <v/>
      </c>
      <c r="AI22" s="230"/>
      <c r="AJ22" s="150"/>
      <c r="AT22" s="31" t="str">
        <f>IFERROR(INDEX('G-6 Hedgerow Data'!$BJ$3:$BJ$15,MATCH(M22,'G-6 Hedgerow Data'!$B$3:$B$15,0)),"")</f>
        <v/>
      </c>
    </row>
    <row r="23" spans="2:46" ht="13.9">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1"/>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2"/>
        <v/>
      </c>
      <c r="AB23" s="520" t="str">
        <f t="shared" si="3"/>
        <v/>
      </c>
      <c r="AC23" s="521" t="str">
        <f t="shared" si="0"/>
        <v/>
      </c>
      <c r="AD23" s="536" t="str">
        <f>IF(M23="","",VLOOKUP(M23,'G-6 Hedgerow Data'!$B$3:$AG$15,31,FALSE))</f>
        <v/>
      </c>
      <c r="AE23" s="506" t="str">
        <f t="shared" si="4"/>
        <v/>
      </c>
      <c r="AF23" s="506" t="str">
        <f t="shared" si="5"/>
        <v/>
      </c>
      <c r="AG23" s="523" t="str">
        <f>IFERROR(IF(O23="","",VLOOKUP(AD23,'G-3 Multipliers'!$P$3:$Q$6,2,FALSE)),"")</f>
        <v/>
      </c>
      <c r="AH23" s="512" t="str">
        <f t="shared" si="6"/>
        <v/>
      </c>
      <c r="AI23" s="230"/>
      <c r="AJ23" s="150"/>
      <c r="AT23" s="31" t="str">
        <f>IFERROR(INDEX('G-6 Hedgerow Data'!$BJ$3:$BJ$15,MATCH(M23,'G-6 Hedgerow Data'!$B$3:$B$15,0)),"")</f>
        <v/>
      </c>
    </row>
    <row r="24" spans="2:46" ht="13.9">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1"/>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2"/>
        <v/>
      </c>
      <c r="AB24" s="520" t="str">
        <f t="shared" si="3"/>
        <v/>
      </c>
      <c r="AC24" s="521" t="str">
        <f t="shared" si="0"/>
        <v/>
      </c>
      <c r="AD24" s="536" t="str">
        <f>IF(M24="","",VLOOKUP(M24,'G-6 Hedgerow Data'!$B$3:$AG$15,31,FALSE))</f>
        <v/>
      </c>
      <c r="AE24" s="506" t="str">
        <f t="shared" si="4"/>
        <v/>
      </c>
      <c r="AF24" s="506" t="str">
        <f t="shared" si="5"/>
        <v/>
      </c>
      <c r="AG24" s="523" t="str">
        <f>IFERROR(IF(O24="","",VLOOKUP(AD24,'G-3 Multipliers'!$P$3:$Q$6,2,FALSE)),"")</f>
        <v/>
      </c>
      <c r="AH24" s="512" t="str">
        <f t="shared" si="6"/>
        <v/>
      </c>
      <c r="AI24" s="230"/>
      <c r="AJ24" s="150"/>
      <c r="AT24" s="31" t="str">
        <f>IFERROR(INDEX('G-6 Hedgerow Data'!$BJ$3:$BJ$15,MATCH(M24,'G-6 Hedgerow Data'!$B$3:$B$15,0)),"")</f>
        <v/>
      </c>
    </row>
    <row r="25" spans="2:46" ht="13.9">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1"/>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2"/>
        <v/>
      </c>
      <c r="AB25" s="520" t="str">
        <f t="shared" si="3"/>
        <v/>
      </c>
      <c r="AC25" s="521" t="str">
        <f t="shared" si="0"/>
        <v/>
      </c>
      <c r="AD25" s="536" t="str">
        <f>IF(M25="","",VLOOKUP(M25,'G-6 Hedgerow Data'!$B$3:$AG$15,31,FALSE))</f>
        <v/>
      </c>
      <c r="AE25" s="506" t="str">
        <f t="shared" si="4"/>
        <v/>
      </c>
      <c r="AF25" s="506" t="str">
        <f t="shared" si="5"/>
        <v/>
      </c>
      <c r="AG25" s="523" t="str">
        <f>IFERROR(IF(O25="","",VLOOKUP(AD25,'G-3 Multipliers'!$P$3:$Q$6,2,FALSE)),"")</f>
        <v/>
      </c>
      <c r="AH25" s="512" t="str">
        <f t="shared" si="6"/>
        <v/>
      </c>
      <c r="AI25" s="230"/>
      <c r="AJ25" s="150"/>
      <c r="AT25" s="31" t="str">
        <f>IFERROR(INDEX('G-6 Hedgerow Data'!$BJ$3:$BJ$15,MATCH(M25,'G-6 Hedgerow Data'!$B$3:$B$15,0)),"")</f>
        <v/>
      </c>
    </row>
    <row r="26" spans="2:46" ht="13.9">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1"/>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2"/>
        <v/>
      </c>
      <c r="AB26" s="520" t="str">
        <f t="shared" si="3"/>
        <v/>
      </c>
      <c r="AC26" s="521" t="str">
        <f t="shared" si="0"/>
        <v/>
      </c>
      <c r="AD26" s="536" t="str">
        <f>IF(M26="","",VLOOKUP(M26,'G-6 Hedgerow Data'!$B$3:$AG$15,31,FALSE))</f>
        <v/>
      </c>
      <c r="AE26" s="506" t="str">
        <f t="shared" si="4"/>
        <v/>
      </c>
      <c r="AF26" s="506" t="str">
        <f t="shared" si="5"/>
        <v/>
      </c>
      <c r="AG26" s="523" t="str">
        <f>IFERROR(IF(O26="","",VLOOKUP(AD26,'G-3 Multipliers'!$P$3:$Q$6,2,FALSE)),"")</f>
        <v/>
      </c>
      <c r="AH26" s="512" t="str">
        <f t="shared" si="6"/>
        <v/>
      </c>
      <c r="AI26" s="230"/>
      <c r="AJ26" s="150"/>
      <c r="AT26" s="31" t="str">
        <f>IFERROR(INDEX('G-6 Hedgerow Data'!$BJ$3:$BJ$15,MATCH(M26,'G-6 Hedgerow Data'!$B$3:$B$15,0)),"")</f>
        <v/>
      </c>
    </row>
    <row r="27" spans="2:46" ht="13.9">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1"/>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2"/>
        <v/>
      </c>
      <c r="AB27" s="520" t="str">
        <f t="shared" si="3"/>
        <v/>
      </c>
      <c r="AC27" s="521" t="str">
        <f t="shared" si="0"/>
        <v/>
      </c>
      <c r="AD27" s="536" t="str">
        <f>IF(M27="","",VLOOKUP(M27,'G-6 Hedgerow Data'!$B$3:$AG$15,31,FALSE))</f>
        <v/>
      </c>
      <c r="AE27" s="506" t="str">
        <f t="shared" si="4"/>
        <v/>
      </c>
      <c r="AF27" s="506" t="str">
        <f t="shared" si="5"/>
        <v/>
      </c>
      <c r="AG27" s="523" t="str">
        <f>IFERROR(IF(O27="","",VLOOKUP(AD27,'G-3 Multipliers'!$P$3:$Q$6,2,FALSE)),"")</f>
        <v/>
      </c>
      <c r="AH27" s="512" t="str">
        <f t="shared" si="6"/>
        <v/>
      </c>
      <c r="AI27" s="230"/>
      <c r="AJ27" s="150"/>
      <c r="AT27" s="31" t="str">
        <f>IFERROR(INDEX('G-6 Hedgerow Data'!$BJ$3:$BJ$15,MATCH(M27,'G-6 Hedgerow Data'!$B$3:$B$15,0)),"")</f>
        <v/>
      </c>
    </row>
    <row r="28" spans="2:46" ht="13.9">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1"/>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2"/>
        <v/>
      </c>
      <c r="AB28" s="520" t="str">
        <f t="shared" si="3"/>
        <v/>
      </c>
      <c r="AC28" s="521" t="str">
        <f t="shared" si="0"/>
        <v/>
      </c>
      <c r="AD28" s="536" t="str">
        <f>IF(M28="","",VLOOKUP(M28,'G-6 Hedgerow Data'!$B$3:$AG$15,31,FALSE))</f>
        <v/>
      </c>
      <c r="AE28" s="506" t="str">
        <f t="shared" si="4"/>
        <v/>
      </c>
      <c r="AF28" s="506" t="str">
        <f t="shared" si="5"/>
        <v/>
      </c>
      <c r="AG28" s="523" t="str">
        <f>IFERROR(IF(O28="","",VLOOKUP(AD28,'G-3 Multipliers'!$P$3:$Q$6,2,FALSE)),"")</f>
        <v/>
      </c>
      <c r="AH28" s="512" t="str">
        <f t="shared" si="6"/>
        <v/>
      </c>
      <c r="AI28" s="230"/>
      <c r="AJ28" s="150"/>
      <c r="AT28" s="31" t="str">
        <f>IFERROR(INDEX('G-6 Hedgerow Data'!$BJ$3:$BJ$15,MATCH(M28,'G-6 Hedgerow Data'!$B$3:$B$15,0)),"")</f>
        <v/>
      </c>
    </row>
    <row r="29" spans="2:46" ht="13.9">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1"/>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2"/>
        <v/>
      </c>
      <c r="AB29" s="520" t="str">
        <f t="shared" si="3"/>
        <v/>
      </c>
      <c r="AC29" s="521" t="str">
        <f t="shared" si="0"/>
        <v/>
      </c>
      <c r="AD29" s="536" t="str">
        <f>IF(M29="","",VLOOKUP(M29,'G-6 Hedgerow Data'!$B$3:$AG$15,31,FALSE))</f>
        <v/>
      </c>
      <c r="AE29" s="506" t="str">
        <f t="shared" si="4"/>
        <v/>
      </c>
      <c r="AF29" s="506" t="str">
        <f t="shared" si="5"/>
        <v/>
      </c>
      <c r="AG29" s="523" t="str">
        <f>IFERROR(IF(O29="","",VLOOKUP(AD29,'G-3 Multipliers'!$P$3:$Q$6,2,FALSE)),"")</f>
        <v/>
      </c>
      <c r="AH29" s="512" t="str">
        <f t="shared" si="6"/>
        <v/>
      </c>
      <c r="AI29" s="230"/>
      <c r="AJ29" s="150"/>
      <c r="AT29" s="31" t="str">
        <f>IFERROR(INDEX('G-6 Hedgerow Data'!$BJ$3:$BJ$15,MATCH(M29,'G-6 Hedgerow Data'!$B$3:$B$15,0)),"")</f>
        <v/>
      </c>
    </row>
    <row r="30" spans="2:46" ht="13.9">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1"/>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2"/>
        <v/>
      </c>
      <c r="AB30" s="520" t="str">
        <f t="shared" si="3"/>
        <v/>
      </c>
      <c r="AC30" s="521" t="str">
        <f t="shared" si="0"/>
        <v/>
      </c>
      <c r="AD30" s="536" t="str">
        <f>IF(M30="","",VLOOKUP(M30,'G-6 Hedgerow Data'!$B$3:$AG$15,31,FALSE))</f>
        <v/>
      </c>
      <c r="AE30" s="506" t="str">
        <f t="shared" si="4"/>
        <v/>
      </c>
      <c r="AF30" s="506" t="str">
        <f t="shared" si="5"/>
        <v/>
      </c>
      <c r="AG30" s="523" t="str">
        <f>IFERROR(IF(O30="","",VLOOKUP(AD30,'G-3 Multipliers'!$P$3:$Q$6,2,FALSE)),"")</f>
        <v/>
      </c>
      <c r="AH30" s="512" t="str">
        <f t="shared" si="6"/>
        <v/>
      </c>
      <c r="AI30" s="230"/>
      <c r="AJ30" s="150"/>
      <c r="AT30" s="31" t="str">
        <f>IFERROR(INDEX('G-6 Hedgerow Data'!$BJ$3:$BJ$15,MATCH(M30,'G-6 Hedgerow Data'!$B$3:$B$15,0)),"")</f>
        <v/>
      </c>
    </row>
    <row r="31" spans="2:46" ht="13.9">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1"/>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2"/>
        <v/>
      </c>
      <c r="AB31" s="520" t="str">
        <f t="shared" si="3"/>
        <v/>
      </c>
      <c r="AC31" s="521" t="str">
        <f t="shared" si="0"/>
        <v/>
      </c>
      <c r="AD31" s="536" t="str">
        <f>IF(M31="","",VLOOKUP(M31,'G-6 Hedgerow Data'!$B$3:$AG$15,31,FALSE))</f>
        <v/>
      </c>
      <c r="AE31" s="506" t="str">
        <f t="shared" si="4"/>
        <v/>
      </c>
      <c r="AF31" s="506" t="str">
        <f t="shared" si="5"/>
        <v/>
      </c>
      <c r="AG31" s="523" t="str">
        <f>IFERROR(IF(O31="","",VLOOKUP(AD31,'G-3 Multipliers'!$P$3:$Q$6,2,FALSE)),"")</f>
        <v/>
      </c>
      <c r="AH31" s="512" t="str">
        <f t="shared" si="6"/>
        <v/>
      </c>
      <c r="AI31" s="230"/>
      <c r="AJ31" s="150"/>
      <c r="AT31" s="31" t="str">
        <f>IFERROR(INDEX('G-6 Hedgerow Data'!$BJ$3:$BJ$15,MATCH(M31,'G-6 Hedgerow Data'!$B$3:$B$15,0)),"")</f>
        <v/>
      </c>
    </row>
    <row r="32" spans="2:46" ht="13.9">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7"/>
        <v/>
      </c>
      <c r="N32" s="497" t="str">
        <f>IFERROR(IF(B32="","",INDEX('G-6 Hedgerow Data'!$AN$3:$AZ$15,MATCH(C32,'G-6 Hedgerow Data'!$AM$3:$AM$15,0),MATCH(M32,'G-6 Hedgerow Data'!$AN$2:$AZ$2,0))),"")</f>
        <v/>
      </c>
      <c r="O32" s="498" t="str">
        <f t="shared" si="1"/>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2"/>
        <v/>
      </c>
      <c r="AB32" s="520" t="str">
        <f t="shared" si="3"/>
        <v/>
      </c>
      <c r="AC32" s="521" t="str">
        <f t="shared" si="0"/>
        <v/>
      </c>
      <c r="AD32" s="536" t="str">
        <f>IF(M32="","",VLOOKUP(M32,'G-6 Hedgerow Data'!$B$3:$AG$15,31,FALSE))</f>
        <v/>
      </c>
      <c r="AE32" s="506" t="str">
        <f t="shared" si="4"/>
        <v/>
      </c>
      <c r="AF32" s="506" t="str">
        <f t="shared" si="5"/>
        <v/>
      </c>
      <c r="AG32" s="523" t="str">
        <f>IFERROR(IF(O32="","",VLOOKUP(AD32,'G-3 Multipliers'!$P$3:$Q$6,2,FALSE)),"")</f>
        <v/>
      </c>
      <c r="AH32" s="512" t="str">
        <f t="shared" si="6"/>
        <v/>
      </c>
      <c r="AI32" s="230"/>
      <c r="AJ32" s="150"/>
      <c r="AT32" s="31" t="str">
        <f>IFERROR(INDEX('G-6 Hedgerow Data'!$BJ$3:$BJ$15,MATCH(M32,'G-6 Hedgerow Data'!$B$3:$B$15,0)),"")</f>
        <v/>
      </c>
    </row>
    <row r="33" spans="2:46" ht="13.9">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7"/>
        <v/>
      </c>
      <c r="N33" s="497" t="str">
        <f>IFERROR(IF(B33="","",INDEX('G-6 Hedgerow Data'!$AN$3:$AZ$15,MATCH(C33,'G-6 Hedgerow Data'!$AM$3:$AM$15,0),MATCH(M33,'G-6 Hedgerow Data'!$AN$2:$AZ$2,0))),"")</f>
        <v/>
      </c>
      <c r="O33" s="498" t="str">
        <f t="shared" si="1"/>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2"/>
        <v/>
      </c>
      <c r="AB33" s="520" t="str">
        <f t="shared" si="3"/>
        <v/>
      </c>
      <c r="AC33" s="521" t="str">
        <f t="shared" si="0"/>
        <v/>
      </c>
      <c r="AD33" s="536" t="str">
        <f>IF(M33="","",VLOOKUP(M33,'G-6 Hedgerow Data'!$B$3:$AG$15,31,FALSE))</f>
        <v/>
      </c>
      <c r="AE33" s="506" t="str">
        <f t="shared" si="4"/>
        <v/>
      </c>
      <c r="AF33" s="506" t="str">
        <f t="shared" si="5"/>
        <v/>
      </c>
      <c r="AG33" s="523" t="str">
        <f>IFERROR(IF(O33="","",VLOOKUP(AD33,'G-3 Multipliers'!$P$3:$Q$6,2,FALSE)),"")</f>
        <v/>
      </c>
      <c r="AH33" s="512" t="str">
        <f t="shared" si="6"/>
        <v/>
      </c>
      <c r="AI33" s="230"/>
      <c r="AJ33" s="150"/>
      <c r="AT33" s="31" t="str">
        <f>IFERROR(INDEX('G-6 Hedgerow Data'!$BJ$3:$BJ$15,MATCH(M33,'G-6 Hedgerow Data'!$B$3:$B$15,0)),"")</f>
        <v/>
      </c>
    </row>
    <row r="34" spans="2:46" ht="13.9">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7"/>
        <v/>
      </c>
      <c r="N34" s="497" t="str">
        <f>IFERROR(IF(B34="","",INDEX('G-6 Hedgerow Data'!$AN$3:$AZ$15,MATCH(C34,'G-6 Hedgerow Data'!$AM$3:$AM$15,0),MATCH(M34,'G-6 Hedgerow Data'!$AN$2:$AZ$2,0))),"")</f>
        <v/>
      </c>
      <c r="O34" s="498" t="str">
        <f t="shared" si="1"/>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2"/>
        <v/>
      </c>
      <c r="AB34" s="520" t="str">
        <f t="shared" si="3"/>
        <v/>
      </c>
      <c r="AC34" s="521" t="str">
        <f t="shared" si="0"/>
        <v/>
      </c>
      <c r="AD34" s="536" t="str">
        <f>IF(M34="","",VLOOKUP(M34,'G-6 Hedgerow Data'!$B$3:$AG$15,31,FALSE))</f>
        <v/>
      </c>
      <c r="AE34" s="506" t="str">
        <f t="shared" si="4"/>
        <v/>
      </c>
      <c r="AF34" s="506" t="str">
        <f t="shared" si="5"/>
        <v/>
      </c>
      <c r="AG34" s="523" t="str">
        <f>IFERROR(IF(O34="","",VLOOKUP(AD34,'G-3 Multipliers'!$P$3:$Q$6,2,FALSE)),"")</f>
        <v/>
      </c>
      <c r="AH34" s="512" t="str">
        <f t="shared" si="6"/>
        <v/>
      </c>
      <c r="AI34" s="230"/>
      <c r="AJ34" s="150"/>
      <c r="AT34" s="31" t="str">
        <f>IFERROR(INDEX('G-6 Hedgerow Data'!$BJ$3:$BJ$15,MATCH(M34,'G-6 Hedgerow Data'!$B$3:$B$15,0)),"")</f>
        <v/>
      </c>
    </row>
    <row r="35" spans="2:46" ht="13.9">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7"/>
        <v/>
      </c>
      <c r="N35" s="497" t="str">
        <f>IFERROR(IF(B35="","",INDEX('G-6 Hedgerow Data'!$AN$3:$AZ$15,MATCH(C35,'G-6 Hedgerow Data'!$AM$3:$AM$15,0),MATCH(M35,'G-6 Hedgerow Data'!$AN$2:$AZ$2,0))),"")</f>
        <v/>
      </c>
      <c r="O35" s="498" t="str">
        <f t="shared" si="1"/>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2"/>
        <v/>
      </c>
      <c r="AB35" s="520" t="str">
        <f t="shared" si="3"/>
        <v/>
      </c>
      <c r="AC35" s="521" t="str">
        <f t="shared" si="0"/>
        <v/>
      </c>
      <c r="AD35" s="536" t="str">
        <f>IF(M35="","",VLOOKUP(M35,'G-6 Hedgerow Data'!$B$3:$AG$15,31,FALSE))</f>
        <v/>
      </c>
      <c r="AE35" s="506" t="str">
        <f t="shared" si="4"/>
        <v/>
      </c>
      <c r="AF35" s="506" t="str">
        <f t="shared" si="5"/>
        <v/>
      </c>
      <c r="AG35" s="523" t="str">
        <f>IFERROR(IF(O35="","",VLOOKUP(AD35,'G-3 Multipliers'!$P$3:$Q$6,2,FALSE)),"")</f>
        <v/>
      </c>
      <c r="AH35" s="512" t="str">
        <f t="shared" si="6"/>
        <v/>
      </c>
      <c r="AI35" s="230"/>
      <c r="AJ35" s="150"/>
      <c r="AT35" s="31" t="str">
        <f>IFERROR(INDEX('G-6 Hedgerow Data'!$BJ$3:$BJ$15,MATCH(M35,'G-6 Hedgerow Data'!$B$3:$B$15,0)),"")</f>
        <v/>
      </c>
    </row>
    <row r="36" spans="2:46" ht="13.9">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7"/>
        <v/>
      </c>
      <c r="N36" s="497" t="str">
        <f>IFERROR(IF(B36="","",INDEX('G-6 Hedgerow Data'!$AN$3:$AZ$15,MATCH(C36,'G-6 Hedgerow Data'!$AM$3:$AM$15,0),MATCH(M36,'G-6 Hedgerow Data'!$AN$2:$AZ$2,0))),"")</f>
        <v/>
      </c>
      <c r="O36" s="498" t="str">
        <f t="shared" si="1"/>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2"/>
        <v/>
      </c>
      <c r="AB36" s="520" t="str">
        <f t="shared" si="3"/>
        <v/>
      </c>
      <c r="AC36" s="521" t="str">
        <f t="shared" si="0"/>
        <v/>
      </c>
      <c r="AD36" s="536" t="str">
        <f>IF(M36="","",VLOOKUP(M36,'G-6 Hedgerow Data'!$B$3:$AG$15,31,FALSE))</f>
        <v/>
      </c>
      <c r="AE36" s="506" t="str">
        <f t="shared" si="4"/>
        <v/>
      </c>
      <c r="AF36" s="506" t="str">
        <f t="shared" si="5"/>
        <v/>
      </c>
      <c r="AG36" s="523" t="str">
        <f>IFERROR(IF(O36="","",VLOOKUP(AD36,'G-3 Multipliers'!$P$3:$Q$6,2,FALSE)),"")</f>
        <v/>
      </c>
      <c r="AH36" s="512" t="str">
        <f t="shared" si="6"/>
        <v/>
      </c>
      <c r="AI36" s="230"/>
      <c r="AJ36" s="150"/>
      <c r="AT36" s="31" t="str">
        <f>IFERROR(INDEX('G-6 Hedgerow Data'!$BJ$3:$BJ$15,MATCH(M36,'G-6 Hedgerow Data'!$B$3:$B$15,0)),"")</f>
        <v/>
      </c>
    </row>
    <row r="37" spans="2:46" ht="13.9">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7"/>
        <v/>
      </c>
      <c r="N37" s="497" t="str">
        <f>IFERROR(IF(B37="","",INDEX('G-6 Hedgerow Data'!$AN$3:$AZ$15,MATCH(C37,'G-6 Hedgerow Data'!$AM$3:$AM$15,0),MATCH(M37,'G-6 Hedgerow Data'!$AN$2:$AZ$2,0))),"")</f>
        <v/>
      </c>
      <c r="O37" s="498" t="str">
        <f t="shared" si="1"/>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2"/>
        <v/>
      </c>
      <c r="AB37" s="520" t="str">
        <f t="shared" si="3"/>
        <v/>
      </c>
      <c r="AC37" s="521" t="str">
        <f t="shared" si="0"/>
        <v/>
      </c>
      <c r="AD37" s="536" t="str">
        <f>IF(M37="","",VLOOKUP(M37,'G-6 Hedgerow Data'!$B$3:$AG$15,31,FALSE))</f>
        <v/>
      </c>
      <c r="AE37" s="506" t="str">
        <f t="shared" si="4"/>
        <v/>
      </c>
      <c r="AF37" s="506" t="str">
        <f t="shared" si="5"/>
        <v/>
      </c>
      <c r="AG37" s="523" t="str">
        <f>IFERROR(IF(O37="","",VLOOKUP(AD37,'G-3 Multipliers'!$P$3:$Q$6,2,FALSE)),"")</f>
        <v/>
      </c>
      <c r="AH37" s="512" t="str">
        <f t="shared" si="6"/>
        <v/>
      </c>
      <c r="AI37" s="230"/>
      <c r="AJ37" s="150"/>
      <c r="AT37" s="31" t="str">
        <f>IFERROR(INDEX('G-6 Hedgerow Data'!$BJ$3:$BJ$15,MATCH(M37,'G-6 Hedgerow Data'!$B$3:$B$15,0)),"")</f>
        <v/>
      </c>
    </row>
    <row r="38" spans="2:46" ht="13.9">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7"/>
        <v/>
      </c>
      <c r="N38" s="497" t="str">
        <f>IFERROR(IF(B38="","",INDEX('G-6 Hedgerow Data'!$AN$3:$AZ$15,MATCH(C38,'G-6 Hedgerow Data'!$AM$3:$AM$15,0),MATCH(M38,'G-6 Hedgerow Data'!$AN$2:$AZ$2,0))),"")</f>
        <v/>
      </c>
      <c r="O38" s="498" t="str">
        <f t="shared" si="1"/>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2"/>
        <v/>
      </c>
      <c r="AB38" s="520" t="str">
        <f t="shared" si="3"/>
        <v/>
      </c>
      <c r="AC38" s="521" t="str">
        <f t="shared" si="0"/>
        <v/>
      </c>
      <c r="AD38" s="536" t="str">
        <f>IF(M38="","",VLOOKUP(M38,'G-6 Hedgerow Data'!$B$3:$AG$15,31,FALSE))</f>
        <v/>
      </c>
      <c r="AE38" s="506" t="str">
        <f t="shared" si="4"/>
        <v/>
      </c>
      <c r="AF38" s="506" t="str">
        <f t="shared" si="5"/>
        <v/>
      </c>
      <c r="AG38" s="523" t="str">
        <f>IFERROR(IF(O38="","",VLOOKUP(AD38,'G-3 Multipliers'!$P$3:$Q$6,2,FALSE)),"")</f>
        <v/>
      </c>
      <c r="AH38" s="512" t="str">
        <f t="shared" si="6"/>
        <v/>
      </c>
      <c r="AI38" s="230"/>
      <c r="AJ38" s="150"/>
      <c r="AT38" s="31" t="str">
        <f>IFERROR(INDEX('G-6 Hedgerow Data'!$BJ$3:$BJ$15,MATCH(M38,'G-6 Hedgerow Data'!$B$3:$B$15,0)),"")</f>
        <v/>
      </c>
    </row>
    <row r="39" spans="2:46" ht="13.9">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7"/>
        <v/>
      </c>
      <c r="N39" s="497" t="str">
        <f>IFERROR(IF(B39="","",INDEX('G-6 Hedgerow Data'!$AN$3:$AZ$15,MATCH(C39,'G-6 Hedgerow Data'!$AM$3:$AM$15,0),MATCH(M39,'G-6 Hedgerow Data'!$AN$2:$AZ$2,0))),"")</f>
        <v/>
      </c>
      <c r="O39" s="498" t="str">
        <f t="shared" si="1"/>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2"/>
        <v/>
      </c>
      <c r="AB39" s="520" t="str">
        <f t="shared" si="3"/>
        <v/>
      </c>
      <c r="AC39" s="521" t="str">
        <f t="shared" si="0"/>
        <v/>
      </c>
      <c r="AD39" s="536" t="str">
        <f>IF(M39="","",VLOOKUP(M39,'G-6 Hedgerow Data'!$B$3:$AG$15,31,FALSE))</f>
        <v/>
      </c>
      <c r="AE39" s="506" t="str">
        <f t="shared" si="4"/>
        <v/>
      </c>
      <c r="AF39" s="506" t="str">
        <f t="shared" si="5"/>
        <v/>
      </c>
      <c r="AG39" s="523" t="str">
        <f>IFERROR(IF(O39="","",VLOOKUP(AD39,'G-3 Multipliers'!$P$3:$Q$6,2,FALSE)),"")</f>
        <v/>
      </c>
      <c r="AH39" s="512" t="str">
        <f t="shared" si="6"/>
        <v/>
      </c>
      <c r="AI39" s="230"/>
      <c r="AJ39" s="150"/>
      <c r="AT39" s="31" t="str">
        <f>IFERROR(INDEX('G-6 Hedgerow Data'!$BJ$3:$BJ$15,MATCH(M39,'G-6 Hedgerow Data'!$B$3:$B$15,0)),"")</f>
        <v/>
      </c>
    </row>
    <row r="40" spans="2:46" ht="13.9">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7"/>
        <v/>
      </c>
      <c r="N40" s="497" t="str">
        <f>IFERROR(IF(B40="","",INDEX('G-6 Hedgerow Data'!$AN$3:$AZ$15,MATCH(C40,'G-6 Hedgerow Data'!$AM$3:$AM$15,0),MATCH(M40,'G-6 Hedgerow Data'!$AN$2:$AZ$2,0))),"")</f>
        <v/>
      </c>
      <c r="O40" s="498" t="str">
        <f t="shared" si="1"/>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2"/>
        <v/>
      </c>
      <c r="AB40" s="520" t="str">
        <f t="shared" si="3"/>
        <v/>
      </c>
      <c r="AC40" s="521" t="str">
        <f t="shared" si="0"/>
        <v/>
      </c>
      <c r="AD40" s="536" t="str">
        <f>IF(M40="","",VLOOKUP(M40,'G-6 Hedgerow Data'!$B$3:$AG$15,31,FALSE))</f>
        <v/>
      </c>
      <c r="AE40" s="506" t="str">
        <f t="shared" si="4"/>
        <v/>
      </c>
      <c r="AF40" s="506" t="str">
        <f t="shared" si="5"/>
        <v/>
      </c>
      <c r="AG40" s="523" t="str">
        <f>IFERROR(IF(O40="","",VLOOKUP(AD40,'G-3 Multipliers'!$P$3:$Q$6,2,FALSE)),"")</f>
        <v/>
      </c>
      <c r="AH40" s="512" t="str">
        <f t="shared" si="6"/>
        <v/>
      </c>
      <c r="AI40" s="230"/>
      <c r="AJ40" s="150"/>
      <c r="AT40" s="31" t="str">
        <f>IFERROR(INDEX('G-6 Hedgerow Data'!$BJ$3:$BJ$15,MATCH(M40,'G-6 Hedgerow Data'!$B$3:$B$15,0)),"")</f>
        <v/>
      </c>
    </row>
    <row r="41" spans="2:46" ht="13.9">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7"/>
        <v/>
      </c>
      <c r="N41" s="497" t="str">
        <f>IFERROR(IF(B41="","",INDEX('G-6 Hedgerow Data'!$AN$3:$AZ$15,MATCH(C41,'G-6 Hedgerow Data'!$AM$3:$AM$15,0),MATCH(M41,'G-6 Hedgerow Data'!$AN$2:$AZ$2,0))),"")</f>
        <v/>
      </c>
      <c r="O41" s="498" t="str">
        <f t="shared" si="1"/>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2"/>
        <v/>
      </c>
      <c r="AB41" s="520" t="str">
        <f t="shared" si="3"/>
        <v/>
      </c>
      <c r="AC41" s="521" t="str">
        <f t="shared" si="0"/>
        <v/>
      </c>
      <c r="AD41" s="536" t="str">
        <f>IF(M41="","",VLOOKUP(M41,'G-6 Hedgerow Data'!$B$3:$AG$15,31,FALSE))</f>
        <v/>
      </c>
      <c r="AE41" s="506" t="str">
        <f t="shared" si="4"/>
        <v/>
      </c>
      <c r="AF41" s="506" t="str">
        <f t="shared" si="5"/>
        <v/>
      </c>
      <c r="AG41" s="523" t="str">
        <f>IFERROR(IF(O41="","",VLOOKUP(AD41,'G-3 Multipliers'!$P$3:$Q$6,2,FALSE)),"")</f>
        <v/>
      </c>
      <c r="AH41" s="512" t="str">
        <f t="shared" si="6"/>
        <v/>
      </c>
      <c r="AI41" s="230"/>
      <c r="AJ41" s="150"/>
      <c r="AT41" s="31" t="str">
        <f>IFERROR(INDEX('G-6 Hedgerow Data'!$BJ$3:$BJ$15,MATCH(M41,'G-6 Hedgerow Data'!$B$3:$B$15,0)),"")</f>
        <v/>
      </c>
    </row>
    <row r="42" spans="2:46" ht="13.9">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7"/>
        <v/>
      </c>
      <c r="N42" s="497" t="str">
        <f>IFERROR(IF(B42="","",INDEX('G-6 Hedgerow Data'!$AN$3:$AZ$15,MATCH(C42,'G-6 Hedgerow Data'!$AM$3:$AM$15,0),MATCH(M42,'G-6 Hedgerow Data'!$AN$2:$AZ$2,0))),"")</f>
        <v/>
      </c>
      <c r="O42" s="498" t="str">
        <f t="shared" si="1"/>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2"/>
        <v/>
      </c>
      <c r="AB42" s="520" t="str">
        <f t="shared" si="3"/>
        <v/>
      </c>
      <c r="AC42" s="521" t="str">
        <f t="shared" si="0"/>
        <v/>
      </c>
      <c r="AD42" s="536" t="str">
        <f>IF(M42="","",VLOOKUP(M42,'G-6 Hedgerow Data'!$B$3:$AG$15,31,FALSE))</f>
        <v/>
      </c>
      <c r="AE42" s="506" t="str">
        <f t="shared" si="4"/>
        <v/>
      </c>
      <c r="AF42" s="506" t="str">
        <f t="shared" si="5"/>
        <v/>
      </c>
      <c r="AG42" s="523" t="str">
        <f>IFERROR(IF(O42="","",VLOOKUP(AD42,'G-3 Multipliers'!$P$3:$Q$6,2,FALSE)),"")</f>
        <v/>
      </c>
      <c r="AH42" s="512" t="str">
        <f t="shared" si="6"/>
        <v/>
      </c>
      <c r="AI42" s="230"/>
      <c r="AJ42" s="150"/>
      <c r="AT42" s="31" t="str">
        <f>IFERROR(INDEX('G-6 Hedgerow Data'!$BJ$3:$BJ$15,MATCH(M42,'G-6 Hedgerow Data'!$B$3:$B$15,0)),"")</f>
        <v/>
      </c>
    </row>
    <row r="43" spans="2:46" ht="13.9">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7"/>
        <v/>
      </c>
      <c r="N43" s="497" t="str">
        <f>IFERROR(IF(B43="","",INDEX('G-6 Hedgerow Data'!$AN$3:$AZ$15,MATCH(C43,'G-6 Hedgerow Data'!$AM$3:$AM$15,0),MATCH(M43,'G-6 Hedgerow Data'!$AN$2:$AZ$2,0))),"")</f>
        <v/>
      </c>
      <c r="O43" s="498" t="str">
        <f t="shared" si="1"/>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2"/>
        <v/>
      </c>
      <c r="AB43" s="520" t="str">
        <f t="shared" si="3"/>
        <v/>
      </c>
      <c r="AC43" s="521" t="str">
        <f t="shared" si="0"/>
        <v/>
      </c>
      <c r="AD43" s="536" t="str">
        <f>IF(M43="","",VLOOKUP(M43,'G-6 Hedgerow Data'!$B$3:$AG$15,31,FALSE))</f>
        <v/>
      </c>
      <c r="AE43" s="506" t="str">
        <f t="shared" si="4"/>
        <v/>
      </c>
      <c r="AF43" s="506" t="str">
        <f t="shared" si="5"/>
        <v/>
      </c>
      <c r="AG43" s="523" t="str">
        <f>IFERROR(IF(O43="","",VLOOKUP(AD43,'G-3 Multipliers'!$P$3:$Q$6,2,FALSE)),"")</f>
        <v/>
      </c>
      <c r="AH43" s="512" t="str">
        <f t="shared" si="6"/>
        <v/>
      </c>
      <c r="AI43" s="230"/>
      <c r="AJ43" s="150"/>
      <c r="AT43" s="31" t="str">
        <f>IFERROR(INDEX('G-6 Hedgerow Data'!$BJ$3:$BJ$15,MATCH(M43,'G-6 Hedgerow Data'!$B$3:$B$15,0)),"")</f>
        <v/>
      </c>
    </row>
    <row r="44" spans="2:46" ht="13.9">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7"/>
        <v/>
      </c>
      <c r="N44" s="497" t="str">
        <f>IFERROR(IF(B44="","",INDEX('G-6 Hedgerow Data'!$AN$3:$AZ$15,MATCH(C44,'G-6 Hedgerow Data'!$AM$3:$AM$15,0),MATCH(M44,'G-6 Hedgerow Data'!$AN$2:$AZ$2,0))),"")</f>
        <v/>
      </c>
      <c r="O44" s="498" t="str">
        <f t="shared" si="1"/>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2"/>
        <v/>
      </c>
      <c r="AB44" s="520" t="str">
        <f t="shared" si="3"/>
        <v/>
      </c>
      <c r="AC44" s="521" t="str">
        <f t="shared" si="0"/>
        <v/>
      </c>
      <c r="AD44" s="536" t="str">
        <f>IF(M44="","",VLOOKUP(M44,'G-6 Hedgerow Data'!$B$3:$AG$15,31,FALSE))</f>
        <v/>
      </c>
      <c r="AE44" s="506" t="str">
        <f t="shared" si="4"/>
        <v/>
      </c>
      <c r="AF44" s="506" t="str">
        <f t="shared" si="5"/>
        <v/>
      </c>
      <c r="AG44" s="523" t="str">
        <f>IFERROR(IF(O44="","",VLOOKUP(AD44,'G-3 Multipliers'!$P$3:$Q$6,2,FALSE)),"")</f>
        <v/>
      </c>
      <c r="AH44" s="512" t="str">
        <f t="shared" si="6"/>
        <v/>
      </c>
      <c r="AI44" s="230"/>
      <c r="AJ44" s="150"/>
      <c r="AT44" s="31" t="str">
        <f>IFERROR(INDEX('G-6 Hedgerow Data'!$BJ$3:$BJ$15,MATCH(M44,'G-6 Hedgerow Data'!$B$3:$B$15,0)),"")</f>
        <v/>
      </c>
    </row>
    <row r="45" spans="2:46" ht="13.9">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7"/>
        <v/>
      </c>
      <c r="N45" s="497" t="str">
        <f>IFERROR(IF(B45="","",INDEX('G-6 Hedgerow Data'!$AN$3:$AZ$15,MATCH(C45,'G-6 Hedgerow Data'!$AM$3:$AM$15,0),MATCH(M45,'G-6 Hedgerow Data'!$AN$2:$AZ$2,0))),"")</f>
        <v/>
      </c>
      <c r="O45" s="498" t="str">
        <f t="shared" si="1"/>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2"/>
        <v/>
      </c>
      <c r="AB45" s="520" t="str">
        <f t="shared" si="3"/>
        <v/>
      </c>
      <c r="AC45" s="521" t="str">
        <f t="shared" si="0"/>
        <v/>
      </c>
      <c r="AD45" s="536" t="str">
        <f>IF(M45="","",VLOOKUP(M45,'G-6 Hedgerow Data'!$B$3:$AG$15,31,FALSE))</f>
        <v/>
      </c>
      <c r="AE45" s="506" t="str">
        <f t="shared" si="4"/>
        <v/>
      </c>
      <c r="AF45" s="506" t="str">
        <f t="shared" si="5"/>
        <v/>
      </c>
      <c r="AG45" s="523" t="str">
        <f>IFERROR(IF(O45="","",VLOOKUP(AD45,'G-3 Multipliers'!$P$3:$Q$6,2,FALSE)),"")</f>
        <v/>
      </c>
      <c r="AH45" s="512" t="str">
        <f t="shared" si="6"/>
        <v/>
      </c>
      <c r="AI45" s="230"/>
      <c r="AJ45" s="150"/>
      <c r="AT45" s="31" t="str">
        <f>IFERROR(INDEX('G-6 Hedgerow Data'!$BJ$3:$BJ$15,MATCH(M45,'G-6 Hedgerow Data'!$B$3:$B$15,0)),"")</f>
        <v/>
      </c>
    </row>
    <row r="46" spans="2:46" ht="13.9">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7"/>
        <v/>
      </c>
      <c r="N46" s="497" t="str">
        <f>IFERROR(IF(B46="","",INDEX('G-6 Hedgerow Data'!$AN$3:$AZ$15,MATCH(C46,'G-6 Hedgerow Data'!$AM$3:$AM$15,0),MATCH(M46,'G-6 Hedgerow Data'!$AN$2:$AZ$2,0))),"")</f>
        <v/>
      </c>
      <c r="O46" s="498" t="str">
        <f t="shared" si="1"/>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2"/>
        <v/>
      </c>
      <c r="AB46" s="520" t="str">
        <f t="shared" si="3"/>
        <v/>
      </c>
      <c r="AC46" s="521" t="str">
        <f t="shared" si="0"/>
        <v/>
      </c>
      <c r="AD46" s="536" t="str">
        <f>IF(M46="","",VLOOKUP(M46,'G-6 Hedgerow Data'!$B$3:$AG$15,31,FALSE))</f>
        <v/>
      </c>
      <c r="AE46" s="506" t="str">
        <f t="shared" si="4"/>
        <v/>
      </c>
      <c r="AF46" s="506" t="str">
        <f t="shared" si="5"/>
        <v/>
      </c>
      <c r="AG46" s="523" t="str">
        <f>IFERROR(IF(O46="","",VLOOKUP(AD46,'G-3 Multipliers'!$P$3:$Q$6,2,FALSE)),"")</f>
        <v/>
      </c>
      <c r="AH46" s="512" t="str">
        <f t="shared" si="6"/>
        <v/>
      </c>
      <c r="AI46" s="230"/>
      <c r="AJ46" s="150"/>
      <c r="AT46" s="31" t="str">
        <f>IFERROR(INDEX('G-6 Hedgerow Data'!$BJ$3:$BJ$15,MATCH(M46,'G-6 Hedgerow Data'!$B$3:$B$15,0)),"")</f>
        <v/>
      </c>
    </row>
    <row r="47" spans="2:46" ht="13.9">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7"/>
        <v/>
      </c>
      <c r="N47" s="497" t="str">
        <f>IFERROR(IF(B47="","",INDEX('G-6 Hedgerow Data'!$AN$3:$AZ$15,MATCH(C47,'G-6 Hedgerow Data'!$AM$3:$AM$15,0),MATCH(M47,'G-6 Hedgerow Data'!$AN$2:$AZ$2,0))),"")</f>
        <v/>
      </c>
      <c r="O47" s="498" t="str">
        <f t="shared" si="1"/>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2"/>
        <v/>
      </c>
      <c r="AB47" s="520" t="str">
        <f t="shared" si="3"/>
        <v/>
      </c>
      <c r="AC47" s="521" t="str">
        <f t="shared" si="0"/>
        <v/>
      </c>
      <c r="AD47" s="536" t="str">
        <f>IF(M47="","",VLOOKUP(M47,'G-6 Hedgerow Data'!$B$3:$AG$15,31,FALSE))</f>
        <v/>
      </c>
      <c r="AE47" s="506" t="str">
        <f t="shared" si="4"/>
        <v/>
      </c>
      <c r="AF47" s="506" t="str">
        <f t="shared" si="5"/>
        <v/>
      </c>
      <c r="AG47" s="523" t="str">
        <f>IFERROR(IF(O47="","",VLOOKUP(AD47,'G-3 Multipliers'!$P$3:$Q$6,2,FALSE)),"")</f>
        <v/>
      </c>
      <c r="AH47" s="512" t="str">
        <f t="shared" si="6"/>
        <v/>
      </c>
      <c r="AI47" s="230"/>
      <c r="AJ47" s="150"/>
      <c r="AT47" s="31" t="str">
        <f>IFERROR(INDEX('G-6 Hedgerow Data'!$BJ$3:$BJ$15,MATCH(M47,'G-6 Hedgerow Data'!$B$3:$B$15,0)),"")</f>
        <v/>
      </c>
    </row>
    <row r="48" spans="2:46" ht="13.9">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7"/>
        <v/>
      </c>
      <c r="N48" s="497" t="str">
        <f>IFERROR(IF(B48="","",INDEX('G-6 Hedgerow Data'!$AN$3:$AZ$15,MATCH(C48,'G-6 Hedgerow Data'!$AM$3:$AM$15,0),MATCH(M48,'G-6 Hedgerow Data'!$AN$2:$AZ$2,0))),"")</f>
        <v/>
      </c>
      <c r="O48" s="498" t="str">
        <f t="shared" si="1"/>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2"/>
        <v/>
      </c>
      <c r="AB48" s="520" t="str">
        <f t="shared" si="3"/>
        <v/>
      </c>
      <c r="AC48" s="521" t="str">
        <f t="shared" si="0"/>
        <v/>
      </c>
      <c r="AD48" s="536" t="str">
        <f>IF(M48="","",VLOOKUP(M48,'G-6 Hedgerow Data'!$B$3:$AG$15,31,FALSE))</f>
        <v/>
      </c>
      <c r="AE48" s="506" t="str">
        <f t="shared" si="4"/>
        <v/>
      </c>
      <c r="AF48" s="506" t="str">
        <f t="shared" si="5"/>
        <v/>
      </c>
      <c r="AG48" s="523" t="str">
        <f>IFERROR(IF(O48="","",VLOOKUP(AD48,'G-3 Multipliers'!$P$3:$Q$6,2,FALSE)),"")</f>
        <v/>
      </c>
      <c r="AH48" s="512" t="str">
        <f t="shared" si="6"/>
        <v/>
      </c>
      <c r="AI48" s="230"/>
      <c r="AJ48" s="150"/>
      <c r="AT48" s="31" t="str">
        <f>IFERROR(INDEX('G-6 Hedgerow Data'!$BJ$3:$BJ$15,MATCH(M48,'G-6 Hedgerow Data'!$B$3:$B$15,0)),"")</f>
        <v/>
      </c>
    </row>
    <row r="49" spans="2:46" ht="13.9">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7"/>
        <v/>
      </c>
      <c r="N49" s="497" t="str">
        <f>IFERROR(IF(B49="","",INDEX('G-6 Hedgerow Data'!$AN$3:$AZ$15,MATCH(C49,'G-6 Hedgerow Data'!$AM$3:$AM$15,0),MATCH(M49,'G-6 Hedgerow Data'!$AN$2:$AZ$2,0))),"")</f>
        <v/>
      </c>
      <c r="O49" s="498" t="str">
        <f t="shared" si="1"/>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2"/>
        <v/>
      </c>
      <c r="AB49" s="520" t="str">
        <f t="shared" si="3"/>
        <v/>
      </c>
      <c r="AC49" s="521" t="str">
        <f t="shared" si="0"/>
        <v/>
      </c>
      <c r="AD49" s="536" t="str">
        <f>IF(M49="","",VLOOKUP(M49,'G-6 Hedgerow Data'!$B$3:$AG$15,31,FALSE))</f>
        <v/>
      </c>
      <c r="AE49" s="506" t="str">
        <f t="shared" si="4"/>
        <v/>
      </c>
      <c r="AF49" s="506" t="str">
        <f t="shared" si="5"/>
        <v/>
      </c>
      <c r="AG49" s="523" t="str">
        <f>IFERROR(IF(O49="","",VLOOKUP(AD49,'G-3 Multipliers'!$P$3:$Q$6,2,FALSE)),"")</f>
        <v/>
      </c>
      <c r="AH49" s="512" t="str">
        <f t="shared" si="6"/>
        <v/>
      </c>
      <c r="AI49" s="230"/>
      <c r="AJ49" s="150"/>
      <c r="AT49" s="31" t="str">
        <f>IFERROR(INDEX('G-6 Hedgerow Data'!$BJ$3:$BJ$15,MATCH(M49,'G-6 Hedgerow Data'!$B$3:$B$15,0)),"")</f>
        <v/>
      </c>
    </row>
    <row r="50" spans="2:46" ht="13.9">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7"/>
        <v/>
      </c>
      <c r="N50" s="497" t="str">
        <f>IFERROR(IF(B50="","",INDEX('G-6 Hedgerow Data'!$AN$3:$AZ$15,MATCH(C50,'G-6 Hedgerow Data'!$AM$3:$AM$15,0),MATCH(M50,'G-6 Hedgerow Data'!$AN$2:$AZ$2,0))),"")</f>
        <v/>
      </c>
      <c r="O50" s="498" t="str">
        <f t="shared" si="1"/>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2"/>
        <v/>
      </c>
      <c r="AB50" s="520" t="str">
        <f t="shared" si="3"/>
        <v/>
      </c>
      <c r="AC50" s="521" t="str">
        <f t="shared" si="0"/>
        <v/>
      </c>
      <c r="AD50" s="536" t="str">
        <f>IF(M50="","",VLOOKUP(M50,'G-6 Hedgerow Data'!$B$3:$AG$15,31,FALSE))</f>
        <v/>
      </c>
      <c r="AE50" s="506" t="str">
        <f t="shared" si="4"/>
        <v/>
      </c>
      <c r="AF50" s="506" t="str">
        <f t="shared" si="5"/>
        <v/>
      </c>
      <c r="AG50" s="523" t="str">
        <f>IFERROR(IF(O50="","",VLOOKUP(AD50,'G-3 Multipliers'!$P$3:$Q$6,2,FALSE)),"")</f>
        <v/>
      </c>
      <c r="AH50" s="512" t="str">
        <f t="shared" si="6"/>
        <v/>
      </c>
      <c r="AI50" s="230"/>
      <c r="AJ50" s="150"/>
      <c r="AT50" s="31" t="str">
        <f>IFERROR(INDEX('G-6 Hedgerow Data'!$BJ$3:$BJ$15,MATCH(M50,'G-6 Hedgerow Data'!$B$3:$B$15,0)),"")</f>
        <v/>
      </c>
    </row>
    <row r="51" spans="2:46" ht="13.9">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7"/>
        <v/>
      </c>
      <c r="N51" s="497" t="str">
        <f>IFERROR(IF(B51="","",INDEX('G-6 Hedgerow Data'!$AN$3:$AZ$15,MATCH(C51,'G-6 Hedgerow Data'!$AM$3:$AM$15,0),MATCH(M51,'G-6 Hedgerow Data'!$AN$2:$AZ$2,0))),"")</f>
        <v/>
      </c>
      <c r="O51" s="498" t="str">
        <f t="shared" si="1"/>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2"/>
        <v/>
      </c>
      <c r="AB51" s="520" t="str">
        <f t="shared" si="3"/>
        <v/>
      </c>
      <c r="AC51" s="521" t="str">
        <f t="shared" si="0"/>
        <v/>
      </c>
      <c r="AD51" s="536" t="str">
        <f>IF(M51="","",VLOOKUP(M51,'G-6 Hedgerow Data'!$B$3:$AG$15,31,FALSE))</f>
        <v/>
      </c>
      <c r="AE51" s="506" t="str">
        <f t="shared" si="4"/>
        <v/>
      </c>
      <c r="AF51" s="506" t="str">
        <f t="shared" si="5"/>
        <v/>
      </c>
      <c r="AG51" s="523" t="str">
        <f>IFERROR(IF(O51="","",VLOOKUP(AD51,'G-3 Multipliers'!$P$3:$Q$6,2,FALSE)),"")</f>
        <v/>
      </c>
      <c r="AH51" s="512" t="str">
        <f t="shared" si="6"/>
        <v/>
      </c>
      <c r="AI51" s="230"/>
      <c r="AJ51" s="150"/>
      <c r="AT51" s="31" t="str">
        <f>IFERROR(INDEX('G-6 Hedgerow Data'!$BJ$3:$BJ$15,MATCH(M51,'G-6 Hedgerow Data'!$B$3:$B$15,0)),"")</f>
        <v/>
      </c>
    </row>
    <row r="52" spans="2:46" ht="13.9">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7"/>
        <v/>
      </c>
      <c r="N52" s="497" t="str">
        <f>IFERROR(IF(B52="","",INDEX('G-6 Hedgerow Data'!$AN$3:$AZ$15,MATCH(C52,'G-6 Hedgerow Data'!$AM$3:$AM$15,0),MATCH(M52,'G-6 Hedgerow Data'!$AN$2:$AZ$2,0))),"")</f>
        <v/>
      </c>
      <c r="O52" s="498" t="str">
        <f t="shared" si="1"/>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2"/>
        <v/>
      </c>
      <c r="AB52" s="520" t="str">
        <f t="shared" si="3"/>
        <v/>
      </c>
      <c r="AC52" s="521" t="str">
        <f t="shared" si="0"/>
        <v/>
      </c>
      <c r="AD52" s="536" t="str">
        <f>IF(M52="","",VLOOKUP(M52,'G-6 Hedgerow Data'!$B$3:$AG$15,31,FALSE))</f>
        <v/>
      </c>
      <c r="AE52" s="506" t="str">
        <f t="shared" si="4"/>
        <v/>
      </c>
      <c r="AF52" s="506" t="str">
        <f t="shared" si="5"/>
        <v/>
      </c>
      <c r="AG52" s="523" t="str">
        <f>IFERROR(IF(O52="","",VLOOKUP(AD52,'G-3 Multipliers'!$P$3:$Q$6,2,FALSE)),"")</f>
        <v/>
      </c>
      <c r="AH52" s="512" t="str">
        <f t="shared" si="6"/>
        <v/>
      </c>
      <c r="AI52" s="230"/>
      <c r="AJ52" s="150"/>
      <c r="AT52" s="31" t="str">
        <f>IFERROR(INDEX('G-6 Hedgerow Data'!$BJ$3:$BJ$15,MATCH(M52,'G-6 Hedgerow Data'!$B$3:$B$15,0)),"")</f>
        <v/>
      </c>
    </row>
    <row r="53" spans="2:46" ht="13.9">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7"/>
        <v/>
      </c>
      <c r="N53" s="497" t="str">
        <f>IFERROR(IF(B53="","",INDEX('G-6 Hedgerow Data'!$AN$3:$AZ$15,MATCH(C53,'G-6 Hedgerow Data'!$AM$3:$AM$15,0),MATCH(M53,'G-6 Hedgerow Data'!$AN$2:$AZ$2,0))),"")</f>
        <v/>
      </c>
      <c r="O53" s="498" t="str">
        <f t="shared" si="1"/>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2"/>
        <v/>
      </c>
      <c r="AB53" s="520" t="str">
        <f t="shared" si="3"/>
        <v/>
      </c>
      <c r="AC53" s="521" t="str">
        <f t="shared" si="0"/>
        <v/>
      </c>
      <c r="AD53" s="536" t="str">
        <f>IF(M53="","",VLOOKUP(M53,'G-6 Hedgerow Data'!$B$3:$AG$15,31,FALSE))</f>
        <v/>
      </c>
      <c r="AE53" s="506" t="str">
        <f t="shared" si="4"/>
        <v/>
      </c>
      <c r="AF53" s="506" t="str">
        <f t="shared" si="5"/>
        <v/>
      </c>
      <c r="AG53" s="523" t="str">
        <f>IFERROR(IF(O53="","",VLOOKUP(AD53,'G-3 Multipliers'!$P$3:$Q$6,2,FALSE)),"")</f>
        <v/>
      </c>
      <c r="AH53" s="512" t="str">
        <f t="shared" si="6"/>
        <v/>
      </c>
      <c r="AI53" s="230"/>
      <c r="AJ53" s="150"/>
      <c r="AT53" s="31" t="str">
        <f>IFERROR(INDEX('G-6 Hedgerow Data'!$BJ$3:$BJ$15,MATCH(M53,'G-6 Hedgerow Data'!$B$3:$B$15,0)),"")</f>
        <v/>
      </c>
    </row>
    <row r="54" spans="2:46" ht="13.9">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7"/>
        <v/>
      </c>
      <c r="N54" s="497" t="str">
        <f>IFERROR(IF(B54="","",INDEX('G-6 Hedgerow Data'!$AN$3:$AZ$15,MATCH(C54,'G-6 Hedgerow Data'!$AM$3:$AM$15,0),MATCH(M54,'G-6 Hedgerow Data'!$AN$2:$AZ$2,0))),"")</f>
        <v/>
      </c>
      <c r="O54" s="498" t="str">
        <f t="shared" si="1"/>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2"/>
        <v/>
      </c>
      <c r="AB54" s="520" t="str">
        <f t="shared" si="3"/>
        <v/>
      </c>
      <c r="AC54" s="521" t="str">
        <f t="shared" si="0"/>
        <v/>
      </c>
      <c r="AD54" s="536" t="str">
        <f>IF(M54="","",VLOOKUP(M54,'G-6 Hedgerow Data'!$B$3:$AG$15,31,FALSE))</f>
        <v/>
      </c>
      <c r="AE54" s="506" t="str">
        <f t="shared" si="4"/>
        <v/>
      </c>
      <c r="AF54" s="506" t="str">
        <f t="shared" si="5"/>
        <v/>
      </c>
      <c r="AG54" s="523" t="str">
        <f>IFERROR(IF(O54="","",VLOOKUP(AD54,'G-3 Multipliers'!$P$3:$Q$6,2,FALSE)),"")</f>
        <v/>
      </c>
      <c r="AH54" s="512" t="str">
        <f t="shared" si="6"/>
        <v/>
      </c>
      <c r="AI54" s="230"/>
      <c r="AJ54" s="150"/>
      <c r="AT54" s="31" t="str">
        <f>IFERROR(INDEX('G-6 Hedgerow Data'!$BJ$3:$BJ$15,MATCH(M54,'G-6 Hedgerow Data'!$B$3:$B$15,0)),"")</f>
        <v/>
      </c>
    </row>
    <row r="55" spans="2:46" ht="13.9">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7"/>
        <v/>
      </c>
      <c r="N55" s="497" t="str">
        <f>IFERROR(IF(B55="","",INDEX('G-6 Hedgerow Data'!$AN$3:$AZ$15,MATCH(C55,'G-6 Hedgerow Data'!$AM$3:$AM$15,0),MATCH(M55,'G-6 Hedgerow Data'!$AN$2:$AZ$2,0))),"")</f>
        <v/>
      </c>
      <c r="O55" s="498" t="str">
        <f t="shared" si="1"/>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2"/>
        <v/>
      </c>
      <c r="AB55" s="520" t="str">
        <f t="shared" si="3"/>
        <v/>
      </c>
      <c r="AC55" s="521" t="str">
        <f t="shared" si="0"/>
        <v/>
      </c>
      <c r="AD55" s="536" t="str">
        <f>IF(M55="","",VLOOKUP(M55,'G-6 Hedgerow Data'!$B$3:$AG$15,31,FALSE))</f>
        <v/>
      </c>
      <c r="AE55" s="506" t="str">
        <f t="shared" si="4"/>
        <v/>
      </c>
      <c r="AF55" s="506" t="str">
        <f t="shared" si="5"/>
        <v/>
      </c>
      <c r="AG55" s="523" t="str">
        <f>IFERROR(IF(O55="","",VLOOKUP(AD55,'G-3 Multipliers'!$P$3:$Q$6,2,FALSE)),"")</f>
        <v/>
      </c>
      <c r="AH55" s="512" t="str">
        <f t="shared" si="6"/>
        <v/>
      </c>
      <c r="AI55" s="230"/>
      <c r="AJ55" s="150"/>
      <c r="AT55" s="31" t="str">
        <f>IFERROR(INDEX('G-6 Hedgerow Data'!$BJ$3:$BJ$15,MATCH(M55,'G-6 Hedgerow Data'!$B$3:$B$15,0)),"")</f>
        <v/>
      </c>
    </row>
    <row r="56" spans="2:46" ht="13.9">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7"/>
        <v/>
      </c>
      <c r="N56" s="497" t="str">
        <f>IFERROR(IF(B56="","",INDEX('G-6 Hedgerow Data'!$AN$3:$AZ$15,MATCH(C56,'G-6 Hedgerow Data'!$AM$3:$AM$15,0),MATCH(M56,'G-6 Hedgerow Data'!$AN$2:$AZ$2,0))),"")</f>
        <v/>
      </c>
      <c r="O56" s="498" t="str">
        <f t="shared" si="1"/>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2"/>
        <v/>
      </c>
      <c r="AB56" s="520" t="str">
        <f t="shared" si="3"/>
        <v/>
      </c>
      <c r="AC56" s="521" t="str">
        <f t="shared" si="0"/>
        <v/>
      </c>
      <c r="AD56" s="536" t="str">
        <f>IF(M56="","",VLOOKUP(M56,'G-6 Hedgerow Data'!$B$3:$AG$15,31,FALSE))</f>
        <v/>
      </c>
      <c r="AE56" s="506" t="str">
        <f t="shared" si="4"/>
        <v/>
      </c>
      <c r="AF56" s="506" t="str">
        <f t="shared" si="5"/>
        <v/>
      </c>
      <c r="AG56" s="523" t="str">
        <f>IFERROR(IF(O56="","",VLOOKUP(AD56,'G-3 Multipliers'!$P$3:$Q$6,2,FALSE)),"")</f>
        <v/>
      </c>
      <c r="AH56" s="512" t="str">
        <f t="shared" si="6"/>
        <v/>
      </c>
      <c r="AI56" s="230"/>
      <c r="AJ56" s="150"/>
      <c r="AT56" s="31" t="str">
        <f>IFERROR(INDEX('G-6 Hedgerow Data'!$BJ$3:$BJ$15,MATCH(M56,'G-6 Hedgerow Data'!$B$3:$B$15,0)),"")</f>
        <v/>
      </c>
    </row>
    <row r="57" spans="2:46" ht="13.9">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7"/>
        <v/>
      </c>
      <c r="N57" s="497" t="str">
        <f>IFERROR(IF(B57="","",INDEX('G-6 Hedgerow Data'!$AN$3:$AZ$15,MATCH(C57,'G-6 Hedgerow Data'!$AM$3:$AM$15,0),MATCH(M57,'G-6 Hedgerow Data'!$AN$2:$AZ$2,0))),"")</f>
        <v/>
      </c>
      <c r="O57" s="498" t="str">
        <f t="shared" si="1"/>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2"/>
        <v/>
      </c>
      <c r="AB57" s="520" t="str">
        <f t="shared" si="3"/>
        <v/>
      </c>
      <c r="AC57" s="521" t="str">
        <f t="shared" si="0"/>
        <v/>
      </c>
      <c r="AD57" s="536" t="str">
        <f>IF(M57="","",VLOOKUP(M57,'G-6 Hedgerow Data'!$B$3:$AG$15,31,FALSE))</f>
        <v/>
      </c>
      <c r="AE57" s="506" t="str">
        <f t="shared" si="4"/>
        <v/>
      </c>
      <c r="AF57" s="506" t="str">
        <f t="shared" si="5"/>
        <v/>
      </c>
      <c r="AG57" s="523" t="str">
        <f>IFERROR(IF(O57="","",VLOOKUP(AD57,'G-3 Multipliers'!$P$3:$Q$6,2,FALSE)),"")</f>
        <v/>
      </c>
      <c r="AH57" s="512" t="str">
        <f t="shared" si="6"/>
        <v/>
      </c>
      <c r="AI57" s="230"/>
      <c r="AJ57" s="150"/>
      <c r="AT57" s="31" t="str">
        <f>IFERROR(INDEX('G-6 Hedgerow Data'!$BJ$3:$BJ$15,MATCH(M57,'G-6 Hedgerow Data'!$B$3:$B$15,0)),"")</f>
        <v/>
      </c>
    </row>
    <row r="58" spans="2:46" ht="13.9">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7"/>
        <v/>
      </c>
      <c r="N58" s="497" t="str">
        <f>IFERROR(IF(B58="","",INDEX('G-6 Hedgerow Data'!$AN$3:$AZ$15,MATCH(C58,'G-6 Hedgerow Data'!$AM$3:$AM$15,0),MATCH(M58,'G-6 Hedgerow Data'!$AN$2:$AZ$2,0))),"")</f>
        <v/>
      </c>
      <c r="O58" s="498" t="str">
        <f t="shared" si="1"/>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2"/>
        <v/>
      </c>
      <c r="AB58" s="520" t="str">
        <f t="shared" si="3"/>
        <v/>
      </c>
      <c r="AC58" s="521" t="str">
        <f t="shared" si="0"/>
        <v/>
      </c>
      <c r="AD58" s="536" t="str">
        <f>IF(M58="","",VLOOKUP(M58,'G-6 Hedgerow Data'!$B$3:$AG$15,31,FALSE))</f>
        <v/>
      </c>
      <c r="AE58" s="506" t="str">
        <f t="shared" si="4"/>
        <v/>
      </c>
      <c r="AF58" s="506" t="str">
        <f t="shared" si="5"/>
        <v/>
      </c>
      <c r="AG58" s="523" t="str">
        <f>IFERROR(IF(O58="","",VLOOKUP(AD58,'G-3 Multipliers'!$P$3:$Q$6,2,FALSE)),"")</f>
        <v/>
      </c>
      <c r="AH58" s="512" t="str">
        <f t="shared" si="6"/>
        <v/>
      </c>
      <c r="AI58" s="230"/>
      <c r="AJ58" s="150"/>
      <c r="AT58" s="31" t="str">
        <f>IFERROR(INDEX('G-6 Hedgerow Data'!$BJ$3:$BJ$15,MATCH(M58,'G-6 Hedgerow Data'!$B$3:$B$15,0)),"")</f>
        <v/>
      </c>
    </row>
    <row r="59" spans="2:46" ht="13.9">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7"/>
        <v/>
      </c>
      <c r="N59" s="497" t="str">
        <f>IFERROR(IF(B59="","",INDEX('G-6 Hedgerow Data'!$AN$3:$AZ$15,MATCH(C59,'G-6 Hedgerow Data'!$AM$3:$AM$15,0),MATCH(M59,'G-6 Hedgerow Data'!$AN$2:$AZ$2,0))),"")</f>
        <v/>
      </c>
      <c r="O59" s="498" t="str">
        <f t="shared" si="1"/>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2"/>
        <v/>
      </c>
      <c r="AB59" s="520" t="str">
        <f t="shared" si="3"/>
        <v/>
      </c>
      <c r="AC59" s="521" t="str">
        <f t="shared" si="0"/>
        <v/>
      </c>
      <c r="AD59" s="536" t="str">
        <f>IF(M59="","",VLOOKUP(M59,'G-6 Hedgerow Data'!$B$3:$AG$15,31,FALSE))</f>
        <v/>
      </c>
      <c r="AE59" s="506" t="str">
        <f t="shared" si="4"/>
        <v/>
      </c>
      <c r="AF59" s="506" t="str">
        <f t="shared" si="5"/>
        <v/>
      </c>
      <c r="AG59" s="523" t="str">
        <f>IFERROR(IF(O59="","",VLOOKUP(AD59,'G-3 Multipliers'!$P$3:$Q$6,2,FALSE)),"")</f>
        <v/>
      </c>
      <c r="AH59" s="512" t="str">
        <f t="shared" si="6"/>
        <v/>
      </c>
      <c r="AI59" s="230"/>
      <c r="AJ59" s="150"/>
      <c r="AT59" s="31" t="str">
        <f>IFERROR(INDEX('G-6 Hedgerow Data'!$BJ$3:$BJ$15,MATCH(M59,'G-6 Hedgerow Data'!$B$3:$B$15,0)),"")</f>
        <v/>
      </c>
    </row>
    <row r="60" spans="2:46" ht="13.9">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7"/>
        <v/>
      </c>
      <c r="N60" s="497" t="str">
        <f>IFERROR(IF(B60="","",INDEX('G-6 Hedgerow Data'!$AN$3:$AZ$15,MATCH(C60,'G-6 Hedgerow Data'!$AM$3:$AM$15,0),MATCH(M60,'G-6 Hedgerow Data'!$AN$2:$AZ$2,0))),"")</f>
        <v/>
      </c>
      <c r="O60" s="498" t="str">
        <f t="shared" si="1"/>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2"/>
        <v/>
      </c>
      <c r="AB60" s="520" t="str">
        <f t="shared" si="3"/>
        <v/>
      </c>
      <c r="AC60" s="521" t="str">
        <f t="shared" si="0"/>
        <v/>
      </c>
      <c r="AD60" s="536" t="str">
        <f>IF(M60="","",VLOOKUP(M60,'G-6 Hedgerow Data'!$B$3:$AG$15,31,FALSE))</f>
        <v/>
      </c>
      <c r="AE60" s="506" t="str">
        <f t="shared" si="4"/>
        <v/>
      </c>
      <c r="AF60" s="506" t="str">
        <f t="shared" si="5"/>
        <v/>
      </c>
      <c r="AG60" s="523" t="str">
        <f>IFERROR(IF(O60="","",VLOOKUP(AD60,'G-3 Multipliers'!$P$3:$Q$6,2,FALSE)),"")</f>
        <v/>
      </c>
      <c r="AH60" s="512" t="str">
        <f t="shared" si="6"/>
        <v/>
      </c>
      <c r="AI60" s="230"/>
      <c r="AJ60" s="150"/>
      <c r="AT60" s="31" t="str">
        <f>IFERROR(INDEX('G-6 Hedgerow Data'!$BJ$3:$BJ$15,MATCH(M60,'G-6 Hedgerow Data'!$B$3:$B$15,0)),"")</f>
        <v/>
      </c>
    </row>
    <row r="61" spans="2:46" ht="13.9">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7"/>
        <v/>
      </c>
      <c r="N61" s="497" t="str">
        <f>IFERROR(IF(B61="","",INDEX('G-6 Hedgerow Data'!$AN$3:$AZ$15,MATCH(C61,'G-6 Hedgerow Data'!$AM$3:$AM$15,0),MATCH(M61,'G-6 Hedgerow Data'!$AN$2:$AZ$2,0))),"")</f>
        <v/>
      </c>
      <c r="O61" s="498" t="str">
        <f t="shared" si="1"/>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2"/>
        <v/>
      </c>
      <c r="AB61" s="520" t="str">
        <f t="shared" si="3"/>
        <v/>
      </c>
      <c r="AC61" s="521" t="str">
        <f t="shared" si="0"/>
        <v/>
      </c>
      <c r="AD61" s="536" t="str">
        <f>IF(M61="","",VLOOKUP(M61,'G-6 Hedgerow Data'!$B$3:$AG$15,31,FALSE))</f>
        <v/>
      </c>
      <c r="AE61" s="506" t="str">
        <f t="shared" si="4"/>
        <v/>
      </c>
      <c r="AF61" s="506" t="str">
        <f t="shared" si="5"/>
        <v/>
      </c>
      <c r="AG61" s="523" t="str">
        <f>IFERROR(IF(O61="","",VLOOKUP(AD61,'G-3 Multipliers'!$P$3:$Q$6,2,FALSE)),"")</f>
        <v/>
      </c>
      <c r="AH61" s="512" t="str">
        <f t="shared" si="6"/>
        <v/>
      </c>
      <c r="AI61" s="230"/>
      <c r="AJ61" s="150"/>
      <c r="AT61" s="31" t="str">
        <f>IFERROR(INDEX('G-6 Hedgerow Data'!$BJ$3:$BJ$15,MATCH(M61,'G-6 Hedgerow Data'!$B$3:$B$15,0)),"")</f>
        <v/>
      </c>
    </row>
    <row r="62" spans="2:46" ht="13.9">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7"/>
        <v/>
      </c>
      <c r="N62" s="497" t="str">
        <f>IFERROR(IF(B62="","",INDEX('G-6 Hedgerow Data'!$AN$3:$AZ$15,MATCH(C62,'G-6 Hedgerow Data'!$AM$3:$AM$15,0),MATCH(M62,'G-6 Hedgerow Data'!$AN$2:$AZ$2,0))),"")</f>
        <v/>
      </c>
      <c r="O62" s="498" t="str">
        <f t="shared" si="1"/>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2"/>
        <v/>
      </c>
      <c r="AB62" s="520" t="str">
        <f t="shared" si="3"/>
        <v/>
      </c>
      <c r="AC62" s="521" t="str">
        <f t="shared" si="0"/>
        <v/>
      </c>
      <c r="AD62" s="536" t="str">
        <f>IF(M62="","",VLOOKUP(M62,'G-6 Hedgerow Data'!$B$3:$AG$15,31,FALSE))</f>
        <v/>
      </c>
      <c r="AE62" s="506" t="str">
        <f t="shared" si="4"/>
        <v/>
      </c>
      <c r="AF62" s="506" t="str">
        <f t="shared" si="5"/>
        <v/>
      </c>
      <c r="AG62" s="523" t="str">
        <f>IFERROR(IF(O62="","",VLOOKUP(AD62,'G-3 Multipliers'!$P$3:$Q$6,2,FALSE)),"")</f>
        <v/>
      </c>
      <c r="AH62" s="512" t="str">
        <f t="shared" si="6"/>
        <v/>
      </c>
      <c r="AI62" s="230"/>
      <c r="AJ62" s="150"/>
      <c r="AT62" s="31" t="str">
        <f>IFERROR(INDEX('G-6 Hedgerow Data'!$BJ$3:$BJ$15,MATCH(M62,'G-6 Hedgerow Data'!$B$3:$B$15,0)),"")</f>
        <v/>
      </c>
    </row>
    <row r="63" spans="2:46" ht="13.9">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7"/>
        <v/>
      </c>
      <c r="N63" s="497" t="str">
        <f>IFERROR(IF(B63="","",INDEX('G-6 Hedgerow Data'!$AN$3:$AZ$15,MATCH(C63,'G-6 Hedgerow Data'!$AM$3:$AM$15,0),MATCH(M63,'G-6 Hedgerow Data'!$AN$2:$AZ$2,0))),"")</f>
        <v/>
      </c>
      <c r="O63" s="498" t="str">
        <f t="shared" si="1"/>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2"/>
        <v/>
      </c>
      <c r="AB63" s="520" t="str">
        <f t="shared" si="3"/>
        <v/>
      </c>
      <c r="AC63" s="521" t="str">
        <f t="shared" si="0"/>
        <v/>
      </c>
      <c r="AD63" s="536" t="str">
        <f>IF(M63="","",VLOOKUP(M63,'G-6 Hedgerow Data'!$B$3:$AG$15,31,FALSE))</f>
        <v/>
      </c>
      <c r="AE63" s="506" t="str">
        <f t="shared" si="4"/>
        <v/>
      </c>
      <c r="AF63" s="506" t="str">
        <f t="shared" si="5"/>
        <v/>
      </c>
      <c r="AG63" s="523" t="str">
        <f>IFERROR(IF(O63="","",VLOOKUP(AD63,'G-3 Multipliers'!$P$3:$Q$6,2,FALSE)),"")</f>
        <v/>
      </c>
      <c r="AH63" s="512" t="str">
        <f t="shared" si="6"/>
        <v/>
      </c>
      <c r="AI63" s="230"/>
      <c r="AJ63" s="150"/>
      <c r="AT63" s="31" t="str">
        <f>IFERROR(INDEX('G-6 Hedgerow Data'!$BJ$3:$BJ$15,MATCH(M63,'G-6 Hedgerow Data'!$B$3:$B$15,0)),"")</f>
        <v/>
      </c>
    </row>
    <row r="64" spans="2:46" ht="13.9">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7"/>
        <v/>
      </c>
      <c r="N64" s="497" t="str">
        <f>IFERROR(IF(B64="","",INDEX('G-6 Hedgerow Data'!$AN$3:$AZ$15,MATCH(C64,'G-6 Hedgerow Data'!$AM$3:$AM$15,0),MATCH(M64,'G-6 Hedgerow Data'!$AN$2:$AZ$2,0))),"")</f>
        <v/>
      </c>
      <c r="O64" s="498" t="str">
        <f t="shared" si="1"/>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2"/>
        <v/>
      </c>
      <c r="AB64" s="520" t="str">
        <f t="shared" si="3"/>
        <v/>
      </c>
      <c r="AC64" s="521" t="str">
        <f t="shared" si="0"/>
        <v/>
      </c>
      <c r="AD64" s="536" t="str">
        <f>IF(M64="","",VLOOKUP(M64,'G-6 Hedgerow Data'!$B$3:$AG$15,31,FALSE))</f>
        <v/>
      </c>
      <c r="AE64" s="506" t="str">
        <f t="shared" si="4"/>
        <v/>
      </c>
      <c r="AF64" s="506" t="str">
        <f t="shared" si="5"/>
        <v/>
      </c>
      <c r="AG64" s="523" t="str">
        <f>IFERROR(IF(O64="","",VLOOKUP(AD64,'G-3 Multipliers'!$P$3:$Q$6,2,FALSE)),"")</f>
        <v/>
      </c>
      <c r="AH64" s="512" t="str">
        <f t="shared" si="6"/>
        <v/>
      </c>
      <c r="AI64" s="230"/>
      <c r="AJ64" s="150"/>
      <c r="AT64" s="31" t="str">
        <f>IFERROR(INDEX('G-6 Hedgerow Data'!$BJ$3:$BJ$15,MATCH(M64,'G-6 Hedgerow Data'!$B$3:$B$15,0)),"")</f>
        <v/>
      </c>
    </row>
    <row r="65" spans="2:46" ht="13.9">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7"/>
        <v/>
      </c>
      <c r="N65" s="497" t="str">
        <f>IFERROR(IF(B65="","",INDEX('G-6 Hedgerow Data'!$AN$3:$AZ$15,MATCH(C65,'G-6 Hedgerow Data'!$AM$3:$AM$15,0),MATCH(M65,'G-6 Hedgerow Data'!$AN$2:$AZ$2,0))),"")</f>
        <v/>
      </c>
      <c r="O65" s="498" t="str">
        <f t="shared" si="1"/>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2"/>
        <v/>
      </c>
      <c r="AB65" s="520" t="str">
        <f t="shared" si="3"/>
        <v/>
      </c>
      <c r="AC65" s="521" t="str">
        <f t="shared" si="0"/>
        <v/>
      </c>
      <c r="AD65" s="536" t="str">
        <f>IF(M65="","",VLOOKUP(M65,'G-6 Hedgerow Data'!$B$3:$AG$15,31,FALSE))</f>
        <v/>
      </c>
      <c r="AE65" s="506" t="str">
        <f t="shared" si="4"/>
        <v/>
      </c>
      <c r="AF65" s="506" t="str">
        <f t="shared" si="5"/>
        <v/>
      </c>
      <c r="AG65" s="523" t="str">
        <f>IFERROR(IF(O65="","",VLOOKUP(AD65,'G-3 Multipliers'!$P$3:$Q$6,2,FALSE)),"")</f>
        <v/>
      </c>
      <c r="AH65" s="512" t="str">
        <f t="shared" si="6"/>
        <v/>
      </c>
      <c r="AI65" s="230"/>
      <c r="AJ65" s="150"/>
      <c r="AT65" s="31" t="str">
        <f>IFERROR(INDEX('G-6 Hedgerow Data'!$BJ$3:$BJ$15,MATCH(M65,'G-6 Hedgerow Data'!$B$3:$B$15,0)),"")</f>
        <v/>
      </c>
    </row>
    <row r="66" spans="2:46" ht="13.9">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7"/>
        <v/>
      </c>
      <c r="N66" s="497" t="str">
        <f>IFERROR(IF(B66="","",INDEX('G-6 Hedgerow Data'!$AN$3:$AZ$15,MATCH(C66,'G-6 Hedgerow Data'!$AM$3:$AM$15,0),MATCH(M66,'G-6 Hedgerow Data'!$AN$2:$AZ$2,0))),"")</f>
        <v/>
      </c>
      <c r="O66" s="498" t="str">
        <f t="shared" si="1"/>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2"/>
        <v/>
      </c>
      <c r="AB66" s="520" t="str">
        <f t="shared" si="3"/>
        <v/>
      </c>
      <c r="AC66" s="521" t="str">
        <f t="shared" si="0"/>
        <v/>
      </c>
      <c r="AD66" s="536" t="str">
        <f>IF(M66="","",VLOOKUP(M66,'G-6 Hedgerow Data'!$B$3:$AG$15,31,FALSE))</f>
        <v/>
      </c>
      <c r="AE66" s="506" t="str">
        <f t="shared" si="4"/>
        <v/>
      </c>
      <c r="AF66" s="506" t="str">
        <f t="shared" si="5"/>
        <v/>
      </c>
      <c r="AG66" s="523" t="str">
        <f>IFERROR(IF(O66="","",VLOOKUP(AD66,'G-3 Multipliers'!$P$3:$Q$6,2,FALSE)),"")</f>
        <v/>
      </c>
      <c r="AH66" s="512" t="str">
        <f t="shared" si="6"/>
        <v/>
      </c>
      <c r="AI66" s="230"/>
      <c r="AJ66" s="150"/>
      <c r="AT66" s="31" t="str">
        <f>IFERROR(INDEX('G-6 Hedgerow Data'!$BJ$3:$BJ$15,MATCH(M66,'G-6 Hedgerow Data'!$B$3:$B$15,0)),"")</f>
        <v/>
      </c>
    </row>
    <row r="67" spans="2:46" ht="13.9">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7"/>
        <v/>
      </c>
      <c r="N67" s="497" t="str">
        <f>IFERROR(IF(B67="","",INDEX('G-6 Hedgerow Data'!$AN$3:$AZ$15,MATCH(C67,'G-6 Hedgerow Data'!$AM$3:$AM$15,0),MATCH(M67,'G-6 Hedgerow Data'!$AN$2:$AZ$2,0))),"")</f>
        <v/>
      </c>
      <c r="O67" s="498" t="str">
        <f t="shared" si="1"/>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2"/>
        <v/>
      </c>
      <c r="AB67" s="520" t="str">
        <f t="shared" si="3"/>
        <v/>
      </c>
      <c r="AC67" s="521" t="str">
        <f t="shared" si="0"/>
        <v/>
      </c>
      <c r="AD67" s="536" t="str">
        <f>IF(M67="","",VLOOKUP(M67,'G-6 Hedgerow Data'!$B$3:$AG$15,31,FALSE))</f>
        <v/>
      </c>
      <c r="AE67" s="506" t="str">
        <f t="shared" si="4"/>
        <v/>
      </c>
      <c r="AF67" s="506" t="str">
        <f t="shared" si="5"/>
        <v/>
      </c>
      <c r="AG67" s="523" t="str">
        <f>IFERROR(IF(O67="","",VLOOKUP(AD67,'G-3 Multipliers'!$P$3:$Q$6,2,FALSE)),"")</f>
        <v/>
      </c>
      <c r="AH67" s="512" t="str">
        <f t="shared" si="6"/>
        <v/>
      </c>
      <c r="AI67" s="230"/>
      <c r="AJ67" s="150"/>
      <c r="AT67" s="31" t="str">
        <f>IFERROR(INDEX('G-6 Hedgerow Data'!$BJ$3:$BJ$15,MATCH(M67,'G-6 Hedgerow Data'!$B$3:$B$15,0)),"")</f>
        <v/>
      </c>
    </row>
    <row r="68" spans="2:46" ht="13.9">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7"/>
        <v/>
      </c>
      <c r="N68" s="497" t="str">
        <f>IFERROR(IF(B68="","",INDEX('G-6 Hedgerow Data'!$AN$3:$AZ$15,MATCH(C68,'G-6 Hedgerow Data'!$AM$3:$AM$15,0),MATCH(M68,'G-6 Hedgerow Data'!$AN$2:$AZ$2,0))),"")</f>
        <v/>
      </c>
      <c r="O68" s="498" t="str">
        <f t="shared" si="1"/>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2"/>
        <v/>
      </c>
      <c r="AB68" s="520" t="str">
        <f t="shared" si="3"/>
        <v/>
      </c>
      <c r="AC68" s="521" t="str">
        <f t="shared" si="0"/>
        <v/>
      </c>
      <c r="AD68" s="536" t="str">
        <f>IF(M68="","",VLOOKUP(M68,'G-6 Hedgerow Data'!$B$3:$AG$15,31,FALSE))</f>
        <v/>
      </c>
      <c r="AE68" s="506" t="str">
        <f t="shared" si="4"/>
        <v/>
      </c>
      <c r="AF68" s="506" t="str">
        <f t="shared" si="5"/>
        <v/>
      </c>
      <c r="AG68" s="523" t="str">
        <f>IFERROR(IF(O68="","",VLOOKUP(AD68,'G-3 Multipliers'!$P$3:$Q$6,2,FALSE)),"")</f>
        <v/>
      </c>
      <c r="AH68" s="512" t="str">
        <f t="shared" si="6"/>
        <v/>
      </c>
      <c r="AI68" s="230"/>
      <c r="AJ68" s="150"/>
      <c r="AT68" s="31" t="str">
        <f>IFERROR(INDEX('G-6 Hedgerow Data'!$BJ$3:$BJ$15,MATCH(M68,'G-6 Hedgerow Data'!$B$3:$B$15,0)),"")</f>
        <v/>
      </c>
    </row>
    <row r="69" spans="2:46" ht="13.9">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7"/>
        <v/>
      </c>
      <c r="N69" s="497" t="str">
        <f>IFERROR(IF(B69="","",INDEX('G-6 Hedgerow Data'!$AN$3:$AZ$15,MATCH(C69,'G-6 Hedgerow Data'!$AM$3:$AM$15,0),MATCH(M69,'G-6 Hedgerow Data'!$AN$2:$AZ$2,0))),"")</f>
        <v/>
      </c>
      <c r="O69" s="498" t="str">
        <f t="shared" si="1"/>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2"/>
        <v/>
      </c>
      <c r="AB69" s="520" t="str">
        <f t="shared" si="3"/>
        <v/>
      </c>
      <c r="AC69" s="521" t="str">
        <f t="shared" si="0"/>
        <v/>
      </c>
      <c r="AD69" s="536" t="str">
        <f>IF(M69="","",VLOOKUP(M69,'G-6 Hedgerow Data'!$B$3:$AG$15,31,FALSE))</f>
        <v/>
      </c>
      <c r="AE69" s="506" t="str">
        <f t="shared" si="4"/>
        <v/>
      </c>
      <c r="AF69" s="506" t="str">
        <f t="shared" si="5"/>
        <v/>
      </c>
      <c r="AG69" s="523" t="str">
        <f>IFERROR(IF(O69="","",VLOOKUP(AD69,'G-3 Multipliers'!$P$3:$Q$6,2,FALSE)),"")</f>
        <v/>
      </c>
      <c r="AH69" s="512" t="str">
        <f t="shared" si="6"/>
        <v/>
      </c>
      <c r="AI69" s="230"/>
      <c r="AJ69" s="150"/>
      <c r="AT69" s="31" t="str">
        <f>IFERROR(INDEX('G-6 Hedgerow Data'!$BJ$3:$BJ$15,MATCH(M69,'G-6 Hedgerow Data'!$B$3:$B$15,0)),"")</f>
        <v/>
      </c>
    </row>
    <row r="70" spans="2:46" ht="13.9">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7"/>
        <v/>
      </c>
      <c r="N70" s="497" t="str">
        <f>IFERROR(IF(B70="","",INDEX('G-6 Hedgerow Data'!$AN$3:$AZ$15,MATCH(C70,'G-6 Hedgerow Data'!$AM$3:$AM$15,0),MATCH(M70,'G-6 Hedgerow Data'!$AN$2:$AZ$2,0))),"")</f>
        <v/>
      </c>
      <c r="O70" s="498" t="str">
        <f t="shared" si="1"/>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2"/>
        <v/>
      </c>
      <c r="AB70" s="520" t="str">
        <f t="shared" si="3"/>
        <v/>
      </c>
      <c r="AC70" s="521" t="str">
        <f t="shared" si="0"/>
        <v/>
      </c>
      <c r="AD70" s="536" t="str">
        <f>IF(M70="","",VLOOKUP(M70,'G-6 Hedgerow Data'!$B$3:$AG$15,31,FALSE))</f>
        <v/>
      </c>
      <c r="AE70" s="506" t="str">
        <f t="shared" si="4"/>
        <v/>
      </c>
      <c r="AF70" s="506" t="str">
        <f t="shared" si="5"/>
        <v/>
      </c>
      <c r="AG70" s="523" t="str">
        <f>IFERROR(IF(O70="","",VLOOKUP(AD70,'G-3 Multipliers'!$P$3:$Q$6,2,FALSE)),"")</f>
        <v/>
      </c>
      <c r="AH70" s="512" t="str">
        <f t="shared" si="6"/>
        <v/>
      </c>
      <c r="AI70" s="230"/>
      <c r="AJ70" s="150"/>
      <c r="AT70" s="31" t="str">
        <f>IFERROR(INDEX('G-6 Hedgerow Data'!$BJ$3:$BJ$15,MATCH(M70,'G-6 Hedgerow Data'!$B$3:$B$15,0)),"")</f>
        <v/>
      </c>
    </row>
    <row r="71" spans="2:46" ht="13.9">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7"/>
        <v/>
      </c>
      <c r="N71" s="497" t="str">
        <f>IFERROR(IF(B71="","",INDEX('G-6 Hedgerow Data'!$AN$3:$AZ$15,MATCH(C71,'G-6 Hedgerow Data'!$AM$3:$AM$15,0),MATCH(M71,'G-6 Hedgerow Data'!$AN$2:$AZ$2,0))),"")</f>
        <v/>
      </c>
      <c r="O71" s="498" t="str">
        <f t="shared" si="1"/>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2"/>
        <v/>
      </c>
      <c r="AB71" s="520" t="str">
        <f t="shared" si="3"/>
        <v/>
      </c>
      <c r="AC71" s="521" t="str">
        <f t="shared" si="0"/>
        <v/>
      </c>
      <c r="AD71" s="536" t="str">
        <f>IF(M71="","",VLOOKUP(M71,'G-6 Hedgerow Data'!$B$3:$AG$15,31,FALSE))</f>
        <v/>
      </c>
      <c r="AE71" s="506" t="str">
        <f t="shared" si="4"/>
        <v/>
      </c>
      <c r="AF71" s="506" t="str">
        <f t="shared" si="5"/>
        <v/>
      </c>
      <c r="AG71" s="523" t="str">
        <f>IFERROR(IF(O71="","",VLOOKUP(AD71,'G-3 Multipliers'!$P$3:$Q$6,2,FALSE)),"")</f>
        <v/>
      </c>
      <c r="AH71" s="512" t="str">
        <f t="shared" si="6"/>
        <v/>
      </c>
      <c r="AI71" s="230"/>
      <c r="AJ71" s="150"/>
      <c r="AT71" s="31" t="str">
        <f>IFERROR(INDEX('G-6 Hedgerow Data'!$BJ$3:$BJ$15,MATCH(M71,'G-6 Hedgerow Data'!$B$3:$B$15,0)),"")</f>
        <v/>
      </c>
    </row>
    <row r="72" spans="2:46" ht="13.9">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7"/>
        <v/>
      </c>
      <c r="N72" s="497" t="str">
        <f>IFERROR(IF(B72="","",INDEX('G-6 Hedgerow Data'!$AN$3:$AZ$15,MATCH(C72,'G-6 Hedgerow Data'!$AM$3:$AM$15,0),MATCH(M72,'G-6 Hedgerow Data'!$AN$2:$AZ$2,0))),"")</f>
        <v/>
      </c>
      <c r="O72" s="498" t="str">
        <f t="shared" si="1"/>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2"/>
        <v/>
      </c>
      <c r="AB72" s="520" t="str">
        <f t="shared" si="3"/>
        <v/>
      </c>
      <c r="AC72" s="521" t="str">
        <f t="shared" si="0"/>
        <v/>
      </c>
      <c r="AD72" s="536" t="str">
        <f>IF(M72="","",VLOOKUP(M72,'G-6 Hedgerow Data'!$B$3:$AG$15,31,FALSE))</f>
        <v/>
      </c>
      <c r="AE72" s="506" t="str">
        <f t="shared" si="4"/>
        <v/>
      </c>
      <c r="AF72" s="506" t="str">
        <f t="shared" si="5"/>
        <v/>
      </c>
      <c r="AG72" s="523" t="str">
        <f>IFERROR(IF(O72="","",VLOOKUP(AD72,'G-3 Multipliers'!$P$3:$Q$6,2,FALSE)),"")</f>
        <v/>
      </c>
      <c r="AH72" s="512" t="str">
        <f t="shared" si="6"/>
        <v/>
      </c>
      <c r="AI72" s="230"/>
      <c r="AJ72" s="150"/>
      <c r="AT72" s="31" t="str">
        <f>IFERROR(INDEX('G-6 Hedgerow Data'!$BJ$3:$BJ$15,MATCH(M72,'G-6 Hedgerow Data'!$B$3:$B$15,0)),"")</f>
        <v/>
      </c>
    </row>
    <row r="73" spans="2:46" ht="13.9">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7"/>
        <v/>
      </c>
      <c r="N73" s="497" t="str">
        <f>IFERROR(IF(B73="","",INDEX('G-6 Hedgerow Data'!$AN$3:$AZ$15,MATCH(C73,'G-6 Hedgerow Data'!$AM$3:$AM$15,0),MATCH(M73,'G-6 Hedgerow Data'!$AN$2:$AZ$2,0))),"")</f>
        <v/>
      </c>
      <c r="O73" s="498" t="str">
        <f t="shared" si="1"/>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2"/>
        <v/>
      </c>
      <c r="AB73" s="520" t="str">
        <f t="shared" si="3"/>
        <v/>
      </c>
      <c r="AC73" s="521" t="str">
        <f t="shared" si="0"/>
        <v/>
      </c>
      <c r="AD73" s="536" t="str">
        <f>IF(M73="","",VLOOKUP(M73,'G-6 Hedgerow Data'!$B$3:$AG$15,31,FALSE))</f>
        <v/>
      </c>
      <c r="AE73" s="506" t="str">
        <f t="shared" si="4"/>
        <v/>
      </c>
      <c r="AF73" s="506" t="str">
        <f t="shared" si="5"/>
        <v/>
      </c>
      <c r="AG73" s="523" t="str">
        <f>IFERROR(IF(O73="","",VLOOKUP(AD73,'G-3 Multipliers'!$P$3:$Q$6,2,FALSE)),"")</f>
        <v/>
      </c>
      <c r="AH73" s="512" t="str">
        <f t="shared" si="6"/>
        <v/>
      </c>
      <c r="AI73" s="230"/>
      <c r="AJ73" s="150"/>
      <c r="AT73" s="31" t="str">
        <f>IFERROR(INDEX('G-6 Hedgerow Data'!$BJ$3:$BJ$15,MATCH(M73,'G-6 Hedgerow Data'!$B$3:$B$15,0)),"")</f>
        <v/>
      </c>
    </row>
    <row r="74" spans="2:46" ht="13.9">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7"/>
        <v/>
      </c>
      <c r="N74" s="497" t="str">
        <f>IFERROR(IF(B74="","",INDEX('G-6 Hedgerow Data'!$AN$3:$AZ$15,MATCH(C74,'G-6 Hedgerow Data'!$AM$3:$AM$15,0),MATCH(M74,'G-6 Hedgerow Data'!$AN$2:$AZ$2,0))),"")</f>
        <v/>
      </c>
      <c r="O74" s="498" t="str">
        <f t="shared" si="1"/>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2"/>
        <v/>
      </c>
      <c r="AB74" s="520" t="str">
        <f t="shared" si="3"/>
        <v/>
      </c>
      <c r="AC74" s="521" t="str">
        <f t="shared" si="0"/>
        <v/>
      </c>
      <c r="AD74" s="536" t="str">
        <f>IF(M74="","",VLOOKUP(M74,'G-6 Hedgerow Data'!$B$3:$AG$15,31,FALSE))</f>
        <v/>
      </c>
      <c r="AE74" s="506" t="str">
        <f t="shared" si="4"/>
        <v/>
      </c>
      <c r="AF74" s="506" t="str">
        <f t="shared" si="5"/>
        <v/>
      </c>
      <c r="AG74" s="523" t="str">
        <f>IFERROR(IF(O74="","",VLOOKUP(AD74,'G-3 Multipliers'!$P$3:$Q$6,2,FALSE)),"")</f>
        <v/>
      </c>
      <c r="AH74" s="512" t="str">
        <f t="shared" si="6"/>
        <v/>
      </c>
      <c r="AI74" s="230"/>
      <c r="AJ74" s="150"/>
      <c r="AT74" s="31" t="str">
        <f>IFERROR(INDEX('G-6 Hedgerow Data'!$BJ$3:$BJ$15,MATCH(M74,'G-6 Hedgerow Data'!$B$3:$B$15,0)),"")</f>
        <v/>
      </c>
    </row>
    <row r="75" spans="2:46" ht="13.9">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7"/>
        <v/>
      </c>
      <c r="N75" s="497" t="str">
        <f>IFERROR(IF(B75="","",INDEX('G-6 Hedgerow Data'!$AN$3:$AZ$15,MATCH(C75,'G-6 Hedgerow Data'!$AM$3:$AM$15,0),MATCH(M75,'G-6 Hedgerow Data'!$AN$2:$AZ$2,0))),"")</f>
        <v/>
      </c>
      <c r="O75" s="498" t="str">
        <f t="shared" si="1"/>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2"/>
        <v/>
      </c>
      <c r="AB75" s="520" t="str">
        <f t="shared" si="3"/>
        <v/>
      </c>
      <c r="AC75" s="521" t="str">
        <f t="shared" si="0"/>
        <v/>
      </c>
      <c r="AD75" s="536" t="str">
        <f>IF(M75="","",VLOOKUP(M75,'G-6 Hedgerow Data'!$B$3:$AG$15,31,FALSE))</f>
        <v/>
      </c>
      <c r="AE75" s="506" t="str">
        <f t="shared" si="4"/>
        <v/>
      </c>
      <c r="AF75" s="506" t="str">
        <f t="shared" si="5"/>
        <v/>
      </c>
      <c r="AG75" s="523" t="str">
        <f>IFERROR(IF(O75="","",VLOOKUP(AD75,'G-3 Multipliers'!$P$3:$Q$6,2,FALSE)),"")</f>
        <v/>
      </c>
      <c r="AH75" s="512" t="str">
        <f t="shared" si="6"/>
        <v/>
      </c>
      <c r="AI75" s="230"/>
      <c r="AJ75" s="150"/>
      <c r="AT75" s="31" t="str">
        <f>IFERROR(INDEX('G-6 Hedgerow Data'!$BJ$3:$BJ$15,MATCH(M75,'G-6 Hedgerow Data'!$B$3:$B$15,0)),"")</f>
        <v/>
      </c>
    </row>
    <row r="76" spans="2:46" ht="13.9">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7"/>
        <v/>
      </c>
      <c r="N76" s="497" t="str">
        <f>IFERROR(IF(B76="","",INDEX('G-6 Hedgerow Data'!$AN$3:$AZ$15,MATCH(C76,'G-6 Hedgerow Data'!$AM$3:$AM$15,0),MATCH(M76,'G-6 Hedgerow Data'!$AN$2:$AZ$2,0))),"")</f>
        <v/>
      </c>
      <c r="O76" s="498" t="str">
        <f t="shared" si="1"/>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2"/>
        <v/>
      </c>
      <c r="AB76" s="520" t="str">
        <f t="shared" si="3"/>
        <v/>
      </c>
      <c r="AC76" s="521" t="str">
        <f t="shared" ref="AC76:AC139" si="8">IF(OR(S76="",M76=""),"",IF(LEFT(AB76,5)="Error ▲","Check Data ⚠",IF(AB76="Check Data ⚠","Check Data ⚠",VLOOKUP(AB76,TemporalMultipliers,3,FALSE))))</f>
        <v/>
      </c>
      <c r="AD76" s="536" t="str">
        <f>IF(M76="","",VLOOKUP(M76,'G-6 Hedgerow Data'!$B$3:$AG$15,31,FALSE))</f>
        <v/>
      </c>
      <c r="AE76" s="506" t="str">
        <f t="shared" si="4"/>
        <v/>
      </c>
      <c r="AF76" s="506" t="str">
        <f t="shared" si="5"/>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3.9">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7"/>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3.9">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3.9">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3.9">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3.9">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3.9">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3.9">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3.9">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3.9">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3.9">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3.9">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3.9">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3.9">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3.9">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3.9">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3.9">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3.9">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3.9">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3.9">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3.9">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3.9">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3.9">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3.9">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3.9">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3.9">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3.9">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3.9">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3.9">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3.9">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3.9">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3.9">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3.9">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3.9">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3.9">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3.9">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3.9">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3.9">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3.9">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3.9">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3.9">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3.9">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3.9">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3.9">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3.9">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3.9">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3.9">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3.9">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3.9">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3.9">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3.9">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3.9">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3.9">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3.9">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3.9">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3.9">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3.9">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3.9">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3.9">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3.9">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3.9">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3.9">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3.9">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3.9">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3.9">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3.9">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3.9">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3.9">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3.9">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3.9">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3.9">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3.9">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3.9">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3.9">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3.9">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3.9">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3.9">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3.9">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3.9">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3.9">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3.9">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3.9">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3.9">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3.9">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3.9">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3.9">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3.9">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3.9">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3.9">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3.9">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3.9">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3.9">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3.9">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3.9">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3.9">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3.9">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3.9">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3.9">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3.9">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3.9">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3.9">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3.9">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3.9">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3.9">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3.9">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3.9">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3.9">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3.9">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3.9">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3.9">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3.9">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3.9">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3.9">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3.9">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3.9">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3.9">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3.9">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3.9">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3.9">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3.9">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3.9">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3.9">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3.9">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3.9">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3.9">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3.9">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3.9">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3.9">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3.9">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3.9">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3.9">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3.9">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3.9">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3.9">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3.9">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3.9">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3.9">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3.9">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3.9">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3.9">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3.9">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3.9">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3.9">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3.9">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3.9">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3.9">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3.9">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3.9">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3.9">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3.9">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3.9">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3.9">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3.9">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3.9">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3.9">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3.9">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3.9">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3.9">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3.9">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3.9">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3.9">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3.9">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3.9">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3.9">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3.9">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3.9">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3.9">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3.9">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3.9">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3.9">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3.9">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3.9">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3.9">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3.9">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3.9">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3.9">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3.9">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3.9">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3.9">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3.9">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3.9">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45" thickBot="1">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45" thickBot="1">
      <c r="B258" s="46"/>
      <c r="C258" s="46"/>
      <c r="D258" s="46"/>
      <c r="E258" s="46"/>
      <c r="F258" s="46"/>
      <c r="G258" s="46"/>
      <c r="H258" s="46"/>
      <c r="I258" s="46"/>
      <c r="J258" s="46"/>
      <c r="K258" s="46"/>
      <c r="L258" s="46"/>
      <c r="M258" s="46"/>
      <c r="N258" s="46"/>
      <c r="O258" s="427"/>
      <c r="P258" s="502">
        <f>SUM(P12:P257)</f>
        <v>0.44400000000000001</v>
      </c>
      <c r="Q258" s="46"/>
      <c r="R258" s="46"/>
      <c r="S258" s="46"/>
      <c r="T258" s="46"/>
      <c r="U258" s="46"/>
      <c r="V258" s="46"/>
      <c r="W258" s="46"/>
      <c r="X258" s="46"/>
      <c r="Y258" s="46"/>
      <c r="Z258" s="46"/>
      <c r="AA258" s="46"/>
      <c r="AB258" s="46"/>
      <c r="AC258" s="46"/>
      <c r="AD258" s="46"/>
      <c r="AE258" s="46"/>
      <c r="AF258" s="426"/>
      <c r="AG258" s="426"/>
      <c r="AH258" s="502">
        <f ca="1">SUM(AH12:AH257)</f>
        <v>4.3536193137312003</v>
      </c>
      <c r="AI258" s="46"/>
      <c r="AJ258" s="46"/>
    </row>
    <row r="259" spans="2:46" ht="13.9"/>
    <row r="260" spans="2:46" ht="13.9"/>
    <row r="261" spans="2:46" ht="13.9"/>
    <row r="262" spans="2:46" ht="13.9"/>
    <row r="263" spans="2:46" ht="13.9"/>
    <row r="264" spans="2:46" ht="13.9"/>
    <row r="265" spans="2:46" ht="13.9"/>
    <row r="266" spans="2:46" ht="13.9"/>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row r="2" spans="2:37" ht="15.75" customHeight="1" thickBot="1">
      <c r="B2" s="743" t="str">
        <f>IF(Start!$F$12="","",Start!$F$12)</f>
        <v>Lea Castle Farm</v>
      </c>
      <c r="C2" s="744"/>
      <c r="D2" s="745"/>
    </row>
    <row r="3" spans="2:37" ht="15.75" customHeight="1">
      <c r="B3" s="974" t="e">
        <f ca="1">MID(CELL("filename",A1),FIND("]",CELL("filename",A1))+1,256)</f>
        <v>#VALUE!</v>
      </c>
      <c r="C3" s="975"/>
      <c r="D3" s="976"/>
    </row>
    <row r="4" spans="2:37" ht="15.75" customHeight="1" thickBot="1">
      <c r="B4" s="977"/>
      <c r="C4" s="978"/>
      <c r="D4" s="979"/>
    </row>
    <row r="5" spans="2:37" ht="37.9" customHeight="1"/>
    <row r="6" spans="2:37" ht="28.9" customHeight="1"/>
    <row r="7" spans="2:37" ht="15.75" customHeight="1" thickBot="1">
      <c r="B7" s="132"/>
      <c r="C7" s="132"/>
      <c r="D7" s="131"/>
    </row>
    <row r="8" spans="2:37" s="42" customFormat="1" ht="28.15" thickBot="1">
      <c r="B8" s="40"/>
      <c r="C8" s="966" t="s">
        <v>348</v>
      </c>
      <c r="D8" s="967"/>
      <c r="E8" s="968"/>
      <c r="F8" s="966" t="s">
        <v>305</v>
      </c>
      <c r="G8" s="968"/>
      <c r="H8" s="966" t="s">
        <v>306</v>
      </c>
      <c r="I8" s="968"/>
      <c r="J8" s="966" t="s">
        <v>193</v>
      </c>
      <c r="K8" s="967"/>
      <c r="L8" s="968"/>
      <c r="M8" s="969" t="s">
        <v>342</v>
      </c>
      <c r="N8" s="167" t="s">
        <v>195</v>
      </c>
      <c r="O8" s="138"/>
      <c r="P8" s="993" t="s">
        <v>196</v>
      </c>
      <c r="Q8" s="995"/>
      <c r="R8" s="995"/>
      <c r="S8" s="995"/>
      <c r="T8" s="995"/>
      <c r="U8" s="994"/>
      <c r="V8" s="993" t="s">
        <v>198</v>
      </c>
      <c r="W8" s="994"/>
    </row>
    <row r="9" spans="2:37" ht="42" thickBot="1">
      <c r="B9" s="135" t="s">
        <v>286</v>
      </c>
      <c r="C9" s="200" t="s">
        <v>326</v>
      </c>
      <c r="D9" s="200" t="s">
        <v>101</v>
      </c>
      <c r="E9" s="201" t="s">
        <v>327</v>
      </c>
      <c r="F9" s="367" t="s">
        <v>191</v>
      </c>
      <c r="G9" s="201" t="s">
        <v>208</v>
      </c>
      <c r="H9" s="367" t="s">
        <v>192</v>
      </c>
      <c r="I9" s="201" t="s">
        <v>208</v>
      </c>
      <c r="J9" s="367" t="s">
        <v>193</v>
      </c>
      <c r="K9" s="200" t="s">
        <v>193</v>
      </c>
      <c r="L9" s="201" t="s">
        <v>261</v>
      </c>
      <c r="M9" s="996"/>
      <c r="N9" s="206" t="s">
        <v>328</v>
      </c>
      <c r="O9" s="138"/>
      <c r="P9" s="405" t="s">
        <v>329</v>
      </c>
      <c r="Q9" s="406" t="s">
        <v>330</v>
      </c>
      <c r="R9" s="407" t="s">
        <v>331</v>
      </c>
      <c r="S9" s="407" t="s">
        <v>332</v>
      </c>
      <c r="T9" s="407" t="s">
        <v>333</v>
      </c>
      <c r="U9" s="408" t="s">
        <v>216</v>
      </c>
      <c r="V9" s="405" t="s">
        <v>217</v>
      </c>
      <c r="W9" s="408" t="s">
        <v>218</v>
      </c>
      <c r="AB9" s="131" t="s">
        <v>202</v>
      </c>
      <c r="AE9" s="156" t="s">
        <v>221</v>
      </c>
      <c r="AF9" s="156" t="s">
        <v>222</v>
      </c>
      <c r="AH9" s="156" t="s">
        <v>224</v>
      </c>
      <c r="AJ9" s="156" t="s">
        <v>221</v>
      </c>
      <c r="AK9" s="156" t="s">
        <v>222</v>
      </c>
    </row>
    <row r="10" spans="2:37" ht="13.9">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3.9">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3.9">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3.9">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3.9">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3.9">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3.9">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3.9">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3.9">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3.9">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3.9">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3.9">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3.9">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3.9">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3.9">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3.9">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3.9">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3.9">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3.9">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3.9">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3.9">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3.9">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3.9">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3.9">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3.9">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3.9">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3.9">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3.9">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3.9">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3.9">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3.9">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3.9">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3.9">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3.9">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3.9">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3.9">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3.9">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3.9">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3.9">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3.9">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3.9">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3.9">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3.9">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3.9">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3.9">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3.9">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3.9">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3.9">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3.9">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3.9">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3.9">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3.9">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3.9">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3.9">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3.9">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3.9">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3.9">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3.9">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3.9">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3.9">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3.9">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3.9">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3.9">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3.9">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3.9">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3.9">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3.9">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3.9">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3.9">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3.9">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3.9">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3.9">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3.9">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3.9">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3.9">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3.9">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3.9">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3.9">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3.9">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3.9">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3.9">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3.9">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3.9">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3.9">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3.9">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3.9">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3.9">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3.9">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3.9">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3.9">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3.9">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3.9">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3.9">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3.9">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3.9">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3.9">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3.9">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3.9">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3.9">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3.9">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3.9">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3.9">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3.9">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3.9">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3.9">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3.9">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3.9">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3.9">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3.9">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3.9">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3.9">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3.9">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3.9">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3.9">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3.9">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3.9">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3.9">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3.9">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3.9">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3.9">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3.9">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3.9">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3.9">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3.9">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3.9">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3.9">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3.9">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3.9">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3.9">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3.9">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3.9">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3.9">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3.9">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3.9">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3.9">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3.9">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3.9">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3.9">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3.9">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3.9">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3.9">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3.9">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3.9">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3.9">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3.9">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3.9">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3.9">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3.9">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3.9">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3.9">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3.9">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3.9">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3.9">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3.9">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3.9">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3.9">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3.9">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3.9">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3.9">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3.9">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3.9">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3.9">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3.9">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3.9">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3.9">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3.9">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3.9">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3.9">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3.9">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3.9">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3.9">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3.9">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3.9">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3.9">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3.9">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3.9">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3.9">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3.9">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3.9">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3.9">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3.9">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3.9">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3.9">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3.9">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3.9">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3.9">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3.9">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3.9">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3.9">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3.9">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3.9">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3.9">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3.9">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3.9">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3.9">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3.9">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3.9">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3.9">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3.9">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3.9">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3.9">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3.9">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3.9">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3.9">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3.9">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3.9">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3.9">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3.9">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3.9">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3.9">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3.9">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3.9">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3.9">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3.9">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3.9">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3.9">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3.9">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3.9">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3.9">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3.9">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3.9">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3.9">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3.9">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3.9">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3.9">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3.9">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3.9">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3.9">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3.9">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3.9">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3.9">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3.9">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3.9">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3.9">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3.9">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3.9">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3.9">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3.9">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3.9">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3.9">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3.9">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3.9">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3.9">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3.9">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3.9">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3.9">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3.9">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45" thickBot="1">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45" thickBot="1">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3.9">
      <c r="O259" s="166"/>
      <c r="P259" s="166"/>
      <c r="Q259" s="166"/>
      <c r="R259" s="166"/>
      <c r="S259" s="166"/>
      <c r="T259" s="166"/>
      <c r="U259" s="166"/>
    </row>
    <row r="260" spans="2:37" ht="13.9">
      <c r="B260" s="132"/>
      <c r="C260" s="132"/>
    </row>
    <row r="261" spans="2:37" ht="13.9">
      <c r="B261" s="132"/>
      <c r="C261" s="132"/>
    </row>
    <row r="262" spans="2:37" ht="13.9">
      <c r="B262" s="132"/>
      <c r="C262" s="132"/>
    </row>
    <row r="263" spans="2:37" ht="13.9">
      <c r="B263" s="132"/>
      <c r="C263" s="132"/>
    </row>
    <row r="264" spans="2:37" ht="13.9">
      <c r="B264" s="132"/>
      <c r="C264" s="132"/>
    </row>
    <row r="265" spans="2:37" ht="13.9">
      <c r="B265" s="132"/>
      <c r="C265" s="132"/>
    </row>
    <row r="266" spans="2:37" ht="13.9">
      <c r="B266" s="132"/>
      <c r="C266" s="132"/>
    </row>
    <row r="267" spans="2:37" ht="13.9" hidden="1">
      <c r="B267" s="132"/>
      <c r="C267" s="132"/>
    </row>
    <row r="268" spans="2:37" ht="13.9" hidden="1">
      <c r="B268" s="132"/>
      <c r="C268" s="132"/>
    </row>
    <row r="269" spans="2:37" ht="13.9" hidden="1">
      <c r="B269" s="132"/>
      <c r="C269" s="132"/>
    </row>
    <row r="270" spans="2:37" ht="13.9" hidden="1">
      <c r="B270" s="132"/>
      <c r="C270" s="132"/>
    </row>
    <row r="271" spans="2:37" ht="13.9" hidden="1">
      <c r="B271" s="132"/>
      <c r="C271" s="132"/>
    </row>
    <row r="272" spans="2:37" ht="13.9" hidden="1">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row r="2" spans="2:33" ht="15.75" customHeight="1" thickBot="1">
      <c r="B2" s="743" t="str">
        <f>IF(Start!$F$12="","",Start!$F$12)</f>
        <v>Lea Castle Farm</v>
      </c>
      <c r="C2" s="744"/>
      <c r="D2" s="744"/>
      <c r="E2" s="745"/>
      <c r="O2" s="908" t="str">
        <f>IF(OR(COUNTIF($O$12:O259,"*30+*")&gt;0,COUNTIF($S$12:S259,"*30+*")&gt;0),"Note; Habitat selected has a time to target condition greater than 30 years. Non standard agreement may be required. ⚠","")</f>
        <v/>
      </c>
      <c r="P2" s="908"/>
      <c r="Q2" s="908"/>
      <c r="R2" s="908"/>
      <c r="S2" s="908"/>
      <c r="T2" s="908"/>
    </row>
    <row r="3" spans="2:33" ht="15.75" customHeight="1" thickBot="1">
      <c r="B3" s="999" t="e">
        <f ca="1">MID(CELL("filename",A1),FIND("]",CELL("filename",A1))+1,256)</f>
        <v>#VALUE!</v>
      </c>
      <c r="C3" s="1000"/>
      <c r="D3" s="1000"/>
      <c r="E3" s="1001"/>
      <c r="O3" s="908"/>
      <c r="P3" s="908"/>
      <c r="Q3" s="908"/>
      <c r="R3" s="908"/>
      <c r="S3" s="908"/>
      <c r="T3" s="908"/>
    </row>
    <row r="4" spans="2:33" ht="15.75" customHeight="1" thickBot="1">
      <c r="B4" s="999"/>
      <c r="C4" s="1000"/>
      <c r="D4" s="1000"/>
      <c r="E4" s="1001"/>
      <c r="O4" s="908"/>
      <c r="P4" s="908"/>
      <c r="Q4" s="908"/>
      <c r="R4" s="908"/>
      <c r="S4" s="908"/>
      <c r="T4" s="908"/>
    </row>
    <row r="5" spans="2:33" ht="15.75" customHeight="1">
      <c r="O5" s="908"/>
      <c r="P5" s="908"/>
      <c r="Q5" s="908"/>
      <c r="R5" s="908"/>
      <c r="S5" s="908"/>
      <c r="T5" s="908"/>
    </row>
    <row r="6" spans="2:33" ht="15.75" customHeight="1">
      <c r="O6" s="402"/>
      <c r="P6" s="402"/>
      <c r="Q6" s="402"/>
      <c r="R6" s="402"/>
      <c r="S6" s="402"/>
    </row>
    <row r="7" spans="2:33" ht="15.75" customHeight="1">
      <c r="B7" s="132"/>
      <c r="C7" s="132"/>
    </row>
    <row r="8" spans="2:33" ht="13.9">
      <c r="J8" s="131"/>
      <c r="K8" s="131"/>
      <c r="L8" s="131"/>
      <c r="M8" s="131"/>
      <c r="N8" s="131"/>
      <c r="O8" s="131"/>
      <c r="P8" s="131"/>
      <c r="Q8" s="131"/>
      <c r="R8" s="131"/>
      <c r="S8" s="131"/>
      <c r="T8" s="131"/>
      <c r="V8" s="131"/>
      <c r="W8" s="131"/>
      <c r="X8" s="131"/>
    </row>
    <row r="9" spans="2:33" ht="15.75" customHeight="1" thickBot="1">
      <c r="J9" s="131"/>
      <c r="K9" s="131"/>
      <c r="L9" s="131"/>
      <c r="M9" s="138"/>
      <c r="N9" s="138"/>
      <c r="O9" s="199"/>
      <c r="P9" s="199"/>
      <c r="Q9" s="199"/>
      <c r="R9" s="199"/>
      <c r="S9" s="199"/>
      <c r="T9" s="199"/>
      <c r="U9" s="199"/>
      <c r="V9" s="199"/>
      <c r="W9" s="199"/>
      <c r="X9" s="199"/>
    </row>
    <row r="10" spans="2:33" s="42" customFormat="1" ht="30" customHeight="1" thickBot="1">
      <c r="B10" s="40"/>
      <c r="C10" s="40"/>
      <c r="D10" s="966" t="s">
        <v>334</v>
      </c>
      <c r="E10" s="968"/>
      <c r="F10" s="966" t="s">
        <v>305</v>
      </c>
      <c r="G10" s="968"/>
      <c r="H10" s="967" t="s">
        <v>306</v>
      </c>
      <c r="I10" s="968"/>
      <c r="J10" s="966" t="s">
        <v>193</v>
      </c>
      <c r="K10" s="967"/>
      <c r="L10" s="968"/>
      <c r="M10" s="966" t="s">
        <v>313</v>
      </c>
      <c r="N10" s="968"/>
      <c r="O10" s="966" t="s">
        <v>258</v>
      </c>
      <c r="P10" s="967"/>
      <c r="Q10" s="967"/>
      <c r="R10" s="967"/>
      <c r="S10" s="967"/>
      <c r="T10" s="968"/>
      <c r="U10" s="966" t="s">
        <v>284</v>
      </c>
      <c r="V10" s="967"/>
      <c r="W10" s="967"/>
      <c r="X10" s="968"/>
      <c r="Y10" s="969" t="s">
        <v>335</v>
      </c>
      <c r="Z10" s="966" t="s">
        <v>198</v>
      </c>
      <c r="AA10" s="968"/>
    </row>
    <row r="11" spans="2:33" ht="55.15">
      <c r="B11" s="135" t="s">
        <v>286</v>
      </c>
      <c r="C11" s="136" t="s">
        <v>336</v>
      </c>
      <c r="D11" s="200" t="s">
        <v>308</v>
      </c>
      <c r="E11" s="201" t="s">
        <v>349</v>
      </c>
      <c r="F11" s="411" t="s">
        <v>191</v>
      </c>
      <c r="G11" s="412" t="s">
        <v>208</v>
      </c>
      <c r="H11" s="413" t="s">
        <v>192</v>
      </c>
      <c r="I11" s="412" t="s">
        <v>208</v>
      </c>
      <c r="J11" s="367" t="s">
        <v>193</v>
      </c>
      <c r="K11" s="200" t="s">
        <v>193</v>
      </c>
      <c r="L11" s="201" t="s">
        <v>261</v>
      </c>
      <c r="M11" s="367" t="s">
        <v>316</v>
      </c>
      <c r="N11" s="201" t="s">
        <v>313</v>
      </c>
      <c r="O11" s="367" t="s">
        <v>337</v>
      </c>
      <c r="P11" s="200" t="s">
        <v>263</v>
      </c>
      <c r="Q11" s="200" t="s">
        <v>264</v>
      </c>
      <c r="R11" s="200" t="s">
        <v>265</v>
      </c>
      <c r="S11" s="200" t="s">
        <v>266</v>
      </c>
      <c r="T11" s="201" t="s">
        <v>345</v>
      </c>
      <c r="U11" s="367" t="s">
        <v>268</v>
      </c>
      <c r="V11" s="200" t="s">
        <v>338</v>
      </c>
      <c r="W11" s="200" t="s">
        <v>270</v>
      </c>
      <c r="X11" s="201" t="s">
        <v>271</v>
      </c>
      <c r="Y11" s="998"/>
      <c r="Z11" s="141" t="s">
        <v>217</v>
      </c>
      <c r="AA11" s="358" t="s">
        <v>218</v>
      </c>
      <c r="AG11" s="131" t="s">
        <v>202</v>
      </c>
    </row>
    <row r="12" spans="2:33" ht="13.9">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3.9">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3.9">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3.9">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3.9">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3.9">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3.9">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3.9">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3.9">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3.9">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3.9">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3.9">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3.9">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3.9">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3.9">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3.9">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3.9">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3.9">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3.9">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3.9">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3.9">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3.9">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3.9">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3.9">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3.9">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3.9">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3.9">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3.9">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3.9">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3.9">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3.9">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3.9">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3.9">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3.9">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3.9">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3.9">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3.9">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3.9">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3.9">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3.9">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3.9">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3.9">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3.9">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3.9">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3.9">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3.9">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3.9">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3.9">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3.9">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3.9">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3.9">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3.9">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3.9">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3.9">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3.9">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3.9">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3.9">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3.9">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3.9">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3.9">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3.9">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3.9">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3.9">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3.9">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3.9">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3.9">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3.9">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3.9">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3.9">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3.9">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3.9">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3.9">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3.9">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3.9">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3.9">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3.9">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3.9">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3.9">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3.9">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3.9">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3.9">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3.9">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3.9">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3.9">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3.9">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3.9">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3.9">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3.9">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3.9">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3.9">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3.9">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3.9">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3.9">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3.9">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3.9">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3.9">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3.9">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3.9">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3.9">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3.9">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3.9">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3.9">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3.9">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3.9">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3.9">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3.9">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3.9">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3.9">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3.9">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3.9">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3.9">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3.9">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3.9">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3.9">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3.9">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3.9">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3.9">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3.9">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3.9">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3.9">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3.9">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3.9">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3.9">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3.9">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3.9">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3.9">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3.9">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3.9">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3.9">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3.9">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3.9">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3.9">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3.9">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3.9">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3.9">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3.9">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3.9">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3.9">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3.9">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3.9">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3.9">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3.9">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3.9">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3.9">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3.9">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3.9">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3.9">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3.9">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3.9">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3.9">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3.9">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3.9">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3.9">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3.9">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3.9">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3.9">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3.9">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3.9">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3.9">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3.9">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3.9">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3.9">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3.9">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3.9">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3.9">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3.9">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3.9">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3.9">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3.9">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3.9">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3.9">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3.9">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3.9">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3.9">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3.9">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3.9">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3.9">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3.9">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3.9">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3.9">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3.9">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3.9">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3.9">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3.9">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3.9">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3.9">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3.9">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3.9">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3.9">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3.9">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3.9">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3.9">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3.9">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3.9">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3.9">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3.9">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3.9">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3.9">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3.9">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3.9">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3.9">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3.9">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3.9">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3.9">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3.9">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3.9">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3.9">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3.9">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3.9">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3.9">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3.9">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3.9">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3.9">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3.9">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3.9">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3.9">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3.9">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3.9">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3.9">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3.9">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3.9">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3.9">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3.9">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3.9">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3.9">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3.9">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3.9">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3.9">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3.9">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3.9">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3.9">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3.9">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3.9">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3.9">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3.9">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3.9">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3.9">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3.9">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3.9">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3.9">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3.9">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3.9">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3.9">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3.9">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3.9">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3.9">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3.9">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45" thickBot="1">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45" thickBot="1">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c r="E261" s="980"/>
      <c r="F261" s="980"/>
      <c r="G261" s="980"/>
      <c r="H261" s="980"/>
      <c r="I261" s="980"/>
      <c r="J261" s="980"/>
    </row>
    <row r="262" spans="2:33" ht="27" customHeight="1"/>
    <row r="263" spans="2:33" ht="13.9"/>
    <row r="264" spans="2:33" ht="13.9"/>
    <row r="265" spans="2:33" ht="13.9"/>
    <row r="266" spans="2:33" ht="13.9" hidden="1"/>
    <row r="267" spans="2:33" ht="13.9" hidden="1"/>
    <row r="268" spans="2:33" ht="13.9" hidden="1"/>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abSelected="1" zoomScaleNormal="100" workbookViewId="0">
      <selection activeCell="F17" sqref="F17:J17"/>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669"/>
      <c r="G1" s="669"/>
      <c r="H1" s="669"/>
      <c r="I1" s="669"/>
      <c r="J1" s="669"/>
      <c r="K1" s="670"/>
      <c r="L1" s="670"/>
      <c r="M1" s="670"/>
      <c r="N1" s="670"/>
      <c r="O1" s="670"/>
      <c r="P1" s="670"/>
    </row>
    <row r="2" spans="1:19" ht="15.75" customHeight="1">
      <c r="B2" s="12"/>
      <c r="C2" s="12"/>
      <c r="E2" s="13"/>
    </row>
    <row r="3" spans="1:19" ht="15.75" customHeight="1">
      <c r="A3" s="13"/>
      <c r="B3" s="13"/>
      <c r="C3" s="13"/>
      <c r="D3" s="13"/>
      <c r="E3" s="13"/>
      <c r="F3" s="671"/>
      <c r="G3" s="671"/>
      <c r="H3" s="671"/>
      <c r="I3" s="671"/>
      <c r="J3" s="671"/>
      <c r="K3" s="671"/>
      <c r="L3" s="671"/>
      <c r="M3" s="671"/>
      <c r="N3" s="671"/>
      <c r="O3" s="671"/>
      <c r="P3" s="671"/>
      <c r="Q3" s="671"/>
    </row>
    <row r="4" spans="1:19" ht="16.5" customHeight="1">
      <c r="A4" s="13"/>
      <c r="B4" s="13"/>
      <c r="C4" s="13"/>
      <c r="D4" s="13"/>
      <c r="E4" s="13"/>
      <c r="F4" s="671"/>
      <c r="G4" s="671"/>
      <c r="H4" s="671"/>
      <c r="I4" s="671"/>
      <c r="J4" s="671"/>
      <c r="K4" s="671"/>
      <c r="L4" s="671"/>
      <c r="M4" s="671"/>
      <c r="N4" s="671"/>
      <c r="O4" s="671"/>
      <c r="P4" s="671"/>
      <c r="Q4" s="671"/>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13"/>
      <c r="E8" s="677"/>
      <c r="F8" s="677"/>
      <c r="G8" s="677"/>
      <c r="H8" s="677"/>
      <c r="I8" s="677"/>
      <c r="J8" s="677"/>
      <c r="K8" s="14"/>
      <c r="L8" s="14"/>
      <c r="M8" s="14"/>
      <c r="N8" s="14"/>
      <c r="O8" s="14"/>
      <c r="P8" s="14"/>
      <c r="Q8" s="14"/>
      <c r="R8" s="14"/>
      <c r="S8" s="14"/>
    </row>
    <row r="9" spans="1:19" ht="23.45" customHeight="1">
      <c r="B9" s="12"/>
      <c r="D9" s="686" t="s">
        <v>0</v>
      </c>
      <c r="E9" s="687"/>
      <c r="F9" s="687"/>
      <c r="G9" s="687"/>
      <c r="H9" s="687"/>
      <c r="I9" s="687"/>
      <c r="J9" s="688"/>
      <c r="K9" s="14"/>
      <c r="L9" s="14"/>
      <c r="M9" s="14"/>
      <c r="N9" s="14"/>
      <c r="O9" s="14"/>
      <c r="P9" s="14"/>
      <c r="Q9" s="14"/>
      <c r="R9" s="14"/>
      <c r="S9" s="14"/>
    </row>
    <row r="10" spans="1:19" ht="21.6" customHeight="1" thickBot="1">
      <c r="B10" s="12"/>
      <c r="D10" s="689"/>
      <c r="E10" s="690"/>
      <c r="F10" s="690"/>
      <c r="G10" s="690"/>
      <c r="H10" s="690"/>
      <c r="I10" s="690"/>
      <c r="J10" s="691"/>
      <c r="K10" s="14"/>
      <c r="L10" s="14"/>
      <c r="M10" s="14"/>
      <c r="N10" s="14"/>
      <c r="P10" s="14"/>
      <c r="Q10" s="14"/>
      <c r="R10" s="14"/>
    </row>
    <row r="11" spans="1:19" ht="25.9" customHeight="1">
      <c r="B11" s="12"/>
      <c r="D11" s="672" t="s">
        <v>1</v>
      </c>
      <c r="E11" s="673"/>
      <c r="F11" s="674"/>
      <c r="G11" s="675"/>
      <c r="H11" s="675"/>
      <c r="I11" s="675"/>
      <c r="J11" s="676"/>
      <c r="K11" s="14"/>
      <c r="L11" s="14"/>
      <c r="M11" s="14"/>
      <c r="N11" s="14"/>
      <c r="P11" s="14"/>
      <c r="Q11" s="14"/>
      <c r="R11" s="14"/>
    </row>
    <row r="12" spans="1:19" ht="24" customHeight="1">
      <c r="B12" s="12"/>
      <c r="D12" s="667" t="s">
        <v>2</v>
      </c>
      <c r="E12" s="668"/>
      <c r="F12" s="692" t="s">
        <v>3</v>
      </c>
      <c r="G12" s="693"/>
      <c r="H12" s="693"/>
      <c r="I12" s="693"/>
      <c r="J12" s="694"/>
      <c r="K12" s="14"/>
      <c r="L12" s="14"/>
      <c r="M12" s="14"/>
      <c r="N12" s="14"/>
      <c r="P12" s="14"/>
      <c r="Q12" s="14"/>
      <c r="R12" s="14"/>
    </row>
    <row r="13" spans="1:19" ht="21.6" customHeight="1">
      <c r="B13" s="12"/>
      <c r="D13" s="698" t="s">
        <v>4</v>
      </c>
      <c r="E13" s="699"/>
      <c r="F13" s="692"/>
      <c r="G13" s="693"/>
      <c r="H13" s="693"/>
      <c r="I13" s="693"/>
      <c r="J13" s="694"/>
      <c r="K13" s="14"/>
      <c r="L13" s="14"/>
      <c r="M13" s="14"/>
      <c r="N13" s="14"/>
      <c r="P13" s="14"/>
      <c r="Q13" s="14"/>
      <c r="R13" s="14"/>
    </row>
    <row r="14" spans="1:19" ht="22.15" customHeight="1">
      <c r="B14" s="12"/>
      <c r="D14" s="667" t="s">
        <v>5</v>
      </c>
      <c r="E14" s="668"/>
      <c r="F14" s="692"/>
      <c r="G14" s="693"/>
      <c r="H14" s="693"/>
      <c r="I14" s="693"/>
      <c r="J14" s="694"/>
      <c r="K14" s="14"/>
      <c r="L14" s="14"/>
      <c r="M14" s="14"/>
      <c r="N14" s="14"/>
      <c r="P14" s="14"/>
      <c r="Q14" s="14"/>
      <c r="R14" s="14"/>
    </row>
    <row r="15" spans="1:19" ht="21.6" customHeight="1">
      <c r="B15" s="12"/>
      <c r="D15" s="667" t="s">
        <v>6</v>
      </c>
      <c r="E15" s="668"/>
      <c r="F15" s="692"/>
      <c r="G15" s="693"/>
      <c r="H15" s="693"/>
      <c r="I15" s="693"/>
      <c r="J15" s="694"/>
      <c r="K15" s="14"/>
      <c r="L15" s="14"/>
      <c r="M15" s="14"/>
      <c r="N15" s="14"/>
      <c r="P15" s="14"/>
      <c r="Q15" s="14"/>
      <c r="R15" s="14"/>
    </row>
    <row r="16" spans="1:19" ht="21" customHeight="1">
      <c r="D16" s="667" t="s">
        <v>7</v>
      </c>
      <c r="E16" s="668"/>
      <c r="F16" s="692" t="s">
        <v>8</v>
      </c>
      <c r="G16" s="693"/>
      <c r="H16" s="693"/>
      <c r="I16" s="693"/>
      <c r="J16" s="694"/>
      <c r="K16" s="14"/>
      <c r="L16" s="14"/>
      <c r="M16" s="14"/>
      <c r="N16" s="14"/>
      <c r="P16" s="14"/>
      <c r="Q16" s="14"/>
      <c r="R16" s="14"/>
    </row>
    <row r="17" spans="3:18" ht="23.45" customHeight="1">
      <c r="D17" s="667" t="s">
        <v>9</v>
      </c>
      <c r="E17" s="668"/>
      <c r="F17" s="692"/>
      <c r="G17" s="693"/>
      <c r="H17" s="693"/>
      <c r="I17" s="693"/>
      <c r="J17" s="694"/>
      <c r="K17" s="14"/>
      <c r="L17" s="14"/>
      <c r="M17" s="14"/>
      <c r="N17" s="14"/>
      <c r="P17" s="14"/>
      <c r="Q17" s="14"/>
      <c r="R17" s="14"/>
    </row>
    <row r="18" spans="3:18" ht="19.899999999999999" customHeight="1">
      <c r="D18" s="667" t="s">
        <v>10</v>
      </c>
      <c r="E18" s="668"/>
      <c r="F18" s="692">
        <v>1</v>
      </c>
      <c r="G18" s="693"/>
      <c r="H18" s="693"/>
      <c r="I18" s="693"/>
      <c r="J18" s="694"/>
      <c r="K18" s="14"/>
      <c r="L18" s="14"/>
      <c r="M18" s="14"/>
      <c r="N18" s="14"/>
      <c r="P18" s="14"/>
      <c r="Q18" s="14"/>
      <c r="R18" s="14"/>
    </row>
    <row r="19" spans="3:18" ht="19.899999999999999" customHeight="1">
      <c r="D19" s="667" t="s">
        <v>11</v>
      </c>
      <c r="E19" s="668"/>
      <c r="F19" s="695">
        <v>44946</v>
      </c>
      <c r="G19" s="696"/>
      <c r="H19" s="696"/>
      <c r="I19" s="696"/>
      <c r="J19" s="697"/>
      <c r="K19" s="14"/>
      <c r="L19" s="14"/>
      <c r="M19" s="14"/>
      <c r="N19" s="14"/>
      <c r="P19" s="14"/>
      <c r="Q19" s="14"/>
      <c r="R19" s="14"/>
    </row>
    <row r="20" spans="3:18" ht="21.6" customHeight="1" thickBot="1">
      <c r="D20" s="700" t="s">
        <v>12</v>
      </c>
      <c r="E20" s="701"/>
      <c r="F20" s="702"/>
      <c r="G20" s="703"/>
      <c r="H20" s="703"/>
      <c r="I20" s="703"/>
      <c r="J20" s="704"/>
      <c r="K20" s="14"/>
      <c r="L20" s="14"/>
      <c r="M20" s="14"/>
      <c r="N20" s="14"/>
      <c r="P20" s="14"/>
      <c r="Q20" s="14"/>
      <c r="R20" s="14"/>
    </row>
    <row r="21" spans="3:18" ht="16.5" customHeight="1">
      <c r="P21" s="14"/>
      <c r="Q21" s="14"/>
      <c r="R21" s="14"/>
    </row>
    <row r="22" spans="3:18" ht="16.5" customHeight="1" thickBot="1">
      <c r="C22" s="14"/>
      <c r="D22" s="14"/>
      <c r="E22" s="14"/>
      <c r="F22" s="14"/>
      <c r="G22" s="14"/>
      <c r="H22" s="14"/>
      <c r="I22" s="14"/>
      <c r="J22" s="14"/>
      <c r="K22" s="14"/>
      <c r="P22" s="14"/>
      <c r="Q22" s="14"/>
      <c r="R22" s="14"/>
    </row>
    <row r="23" spans="3:18" ht="20.25" customHeight="1" thickBot="1">
      <c r="C23" s="14"/>
      <c r="D23" s="707" t="s">
        <v>13</v>
      </c>
      <c r="E23" s="708"/>
      <c r="F23" s="708"/>
      <c r="G23" s="708"/>
      <c r="H23" s="708"/>
      <c r="I23" s="708"/>
      <c r="J23" s="709"/>
      <c r="K23" s="14"/>
      <c r="L23" s="15"/>
      <c r="M23" s="15"/>
      <c r="N23" s="15"/>
      <c r="P23" s="14"/>
      <c r="Q23" s="14"/>
      <c r="R23" s="14"/>
    </row>
    <row r="24" spans="3:18" ht="16.5" customHeight="1">
      <c r="P24" s="14"/>
      <c r="Q24" s="14"/>
      <c r="R24" s="14"/>
    </row>
    <row r="25" spans="3:18" ht="16.5" customHeight="1">
      <c r="D25" s="705"/>
      <c r="E25" s="706"/>
      <c r="F25" s="680" t="s">
        <v>14</v>
      </c>
      <c r="G25" s="681"/>
      <c r="H25" s="681"/>
      <c r="I25" s="681"/>
      <c r="J25" s="682"/>
      <c r="K25" s="14"/>
      <c r="L25" s="14"/>
      <c r="M25" s="14"/>
      <c r="N25" s="14"/>
      <c r="P25" s="14"/>
      <c r="Q25" s="14"/>
      <c r="R25" s="14"/>
    </row>
    <row r="26" spans="3:18" ht="16.5" customHeight="1">
      <c r="D26" s="710"/>
      <c r="E26" s="711"/>
      <c r="F26" s="680" t="s">
        <v>15</v>
      </c>
      <c r="G26" s="681"/>
      <c r="H26" s="681"/>
      <c r="I26" s="681"/>
      <c r="J26" s="682"/>
      <c r="K26" s="14"/>
      <c r="L26" s="14"/>
      <c r="M26" s="14"/>
      <c r="N26" s="14"/>
      <c r="P26" s="14"/>
      <c r="Q26" s="14"/>
      <c r="R26" s="14"/>
    </row>
    <row r="27" spans="3:18" ht="16.5" customHeight="1" thickBot="1">
      <c r="D27" s="678"/>
      <c r="E27" s="679"/>
      <c r="F27" s="683" t="s">
        <v>16</v>
      </c>
      <c r="G27" s="684"/>
      <c r="H27" s="684"/>
      <c r="I27" s="684"/>
      <c r="J27" s="685"/>
      <c r="K27" s="14"/>
      <c r="L27" s="14"/>
      <c r="M27" s="14"/>
      <c r="N27" s="14"/>
      <c r="P27" s="14"/>
      <c r="Q27" s="14"/>
      <c r="R27" s="14"/>
    </row>
    <row r="28" spans="3:18" ht="16.5" customHeight="1">
      <c r="D28" s="14"/>
      <c r="E28" s="14"/>
      <c r="F28" s="14"/>
      <c r="G28" s="14"/>
      <c r="H28" s="14"/>
      <c r="I28" s="14"/>
      <c r="J28" s="14"/>
      <c r="K28" s="14"/>
      <c r="L28" s="14"/>
      <c r="M28" s="14"/>
      <c r="N28" s="14"/>
      <c r="P28" s="14"/>
      <c r="Q28" s="14"/>
      <c r="R28" s="14"/>
    </row>
    <row r="29" spans="3:18" ht="24" customHeight="1">
      <c r="D29" s="14"/>
      <c r="E29" s="14"/>
      <c r="F29" s="14"/>
      <c r="G29" s="14"/>
      <c r="H29" s="14"/>
      <c r="I29" s="14"/>
      <c r="J29" s="14"/>
      <c r="K29" s="14"/>
      <c r="L29" s="14"/>
      <c r="M29" s="14"/>
      <c r="N29" s="14"/>
      <c r="P29" s="14"/>
      <c r="Q29" s="14"/>
      <c r="R29" s="14"/>
    </row>
    <row r="30" spans="3:18" ht="15.6">
      <c r="D30" s="14"/>
      <c r="E30" s="14"/>
      <c r="F30" s="14"/>
      <c r="G30" s="14"/>
      <c r="H30" s="14"/>
      <c r="I30" s="14"/>
      <c r="J30" s="14"/>
      <c r="K30" s="14"/>
      <c r="L30" s="14"/>
      <c r="M30" s="14"/>
      <c r="N30" s="14"/>
      <c r="P30" s="14"/>
      <c r="Q30" s="14"/>
      <c r="R30" s="14"/>
    </row>
    <row r="31" spans="3:18" ht="15.6">
      <c r="D31" s="14"/>
      <c r="E31" s="14"/>
      <c r="F31" s="14"/>
      <c r="G31" s="14"/>
      <c r="H31" s="14"/>
      <c r="I31" s="14"/>
      <c r="J31" s="14"/>
      <c r="K31" s="14"/>
      <c r="L31" s="14"/>
      <c r="M31" s="14"/>
      <c r="N31" s="14"/>
      <c r="O31" s="14"/>
      <c r="P31" s="14"/>
      <c r="Q31" s="14"/>
      <c r="R31" s="14"/>
    </row>
    <row r="32" spans="3:18" ht="15.6">
      <c r="D32" s="14"/>
      <c r="E32" s="14"/>
      <c r="F32" s="14"/>
      <c r="G32" s="14"/>
      <c r="H32" s="14"/>
      <c r="I32" s="14"/>
      <c r="J32" s="14"/>
      <c r="K32" s="14"/>
      <c r="L32" s="14"/>
      <c r="M32" s="14"/>
      <c r="N32" s="14"/>
      <c r="O32" s="14"/>
      <c r="P32" s="14"/>
      <c r="Q32" s="14"/>
      <c r="R32" s="14"/>
    </row>
    <row r="33" spans="4:18" ht="15.6">
      <c r="D33" s="14"/>
      <c r="E33" s="14"/>
      <c r="F33" s="14"/>
      <c r="G33" s="14"/>
      <c r="H33" s="14"/>
      <c r="I33" s="14"/>
      <c r="J33" s="14"/>
      <c r="K33" s="14"/>
      <c r="L33" s="14"/>
      <c r="M33" s="14"/>
      <c r="N33" s="14"/>
      <c r="O33" s="14"/>
      <c r="P33" s="14"/>
      <c r="Q33" s="14"/>
      <c r="R33" s="14"/>
    </row>
    <row r="34" spans="4:18" ht="15.6">
      <c r="D34" s="14"/>
      <c r="E34" s="14"/>
      <c r="F34" s="14"/>
      <c r="G34" s="14"/>
      <c r="H34" s="14"/>
      <c r="I34" s="14"/>
      <c r="J34" s="14"/>
      <c r="K34" s="14"/>
      <c r="L34" s="14"/>
      <c r="M34" s="14"/>
      <c r="N34" s="14"/>
      <c r="O34" s="14"/>
      <c r="P34" s="14"/>
      <c r="Q34" s="14"/>
      <c r="R34" s="14"/>
    </row>
    <row r="35" spans="4:18" ht="15.6">
      <c r="D35" s="14"/>
      <c r="E35" s="14"/>
      <c r="F35" s="14"/>
      <c r="G35" s="14"/>
      <c r="H35" s="14"/>
      <c r="I35" s="14"/>
      <c r="J35" s="14"/>
      <c r="K35" s="14"/>
      <c r="L35" s="14"/>
      <c r="M35" s="14"/>
      <c r="N35" s="14"/>
      <c r="O35" s="14"/>
      <c r="P35" s="14"/>
      <c r="Q35" s="14"/>
      <c r="R35" s="14"/>
    </row>
    <row r="36" spans="4:18" ht="15.6">
      <c r="D36" s="14"/>
      <c r="E36" s="14"/>
      <c r="F36" s="14"/>
      <c r="G36" s="14"/>
      <c r="H36" s="14"/>
      <c r="I36" s="14"/>
      <c r="J36" s="14"/>
      <c r="K36" s="14"/>
      <c r="L36" s="14"/>
      <c r="M36" s="14"/>
      <c r="N36" s="14"/>
      <c r="O36" s="14"/>
      <c r="P36" s="14"/>
      <c r="Q36" s="14"/>
      <c r="R36" s="14"/>
    </row>
    <row r="37" spans="4:18" ht="15.6">
      <c r="D37" s="14"/>
      <c r="E37" s="14"/>
      <c r="F37" s="14"/>
      <c r="G37" s="14"/>
      <c r="H37" s="14"/>
      <c r="I37" s="14"/>
      <c r="J37" s="14"/>
      <c r="K37" s="14"/>
      <c r="L37" s="14"/>
      <c r="M37" s="14"/>
      <c r="N37" s="14"/>
      <c r="O37" s="14"/>
      <c r="P37" s="14"/>
      <c r="Q37" s="14"/>
      <c r="R37" s="14"/>
    </row>
    <row r="38" spans="4:18" ht="15.6">
      <c r="D38" s="14"/>
      <c r="E38" s="14"/>
      <c r="F38" s="14"/>
      <c r="G38" s="14"/>
      <c r="H38" s="14"/>
      <c r="I38" s="14"/>
      <c r="J38" s="14"/>
      <c r="K38" s="14"/>
      <c r="L38" s="14"/>
      <c r="M38" s="14"/>
      <c r="N38" s="14"/>
      <c r="O38" s="14"/>
      <c r="P38" s="14"/>
      <c r="Q38" s="14"/>
      <c r="R38" s="14"/>
    </row>
    <row r="39" spans="4:18" ht="15.6">
      <c r="D39" s="14"/>
      <c r="E39" s="14"/>
      <c r="F39" s="14"/>
      <c r="G39" s="14"/>
      <c r="H39" s="14"/>
      <c r="I39" s="14"/>
      <c r="J39" s="14"/>
      <c r="K39" s="14"/>
      <c r="L39" s="14"/>
      <c r="M39" s="14"/>
      <c r="N39" s="14"/>
      <c r="O39" s="14"/>
      <c r="P39" s="14"/>
      <c r="Q39" s="14"/>
      <c r="R39" s="14"/>
    </row>
    <row r="40" spans="4:18" ht="15.6">
      <c r="D40" s="14"/>
      <c r="E40" s="14"/>
      <c r="F40" s="14"/>
      <c r="G40" s="14"/>
      <c r="H40" s="14"/>
      <c r="I40" s="14"/>
      <c r="J40" s="14"/>
      <c r="K40" s="14"/>
      <c r="L40" s="14"/>
      <c r="M40" s="14"/>
      <c r="N40" s="14"/>
      <c r="O40" s="14"/>
      <c r="P40" s="14"/>
      <c r="Q40" s="14"/>
      <c r="R40" s="14"/>
    </row>
    <row r="41" spans="4:18" ht="15.6">
      <c r="D41" s="14"/>
      <c r="E41" s="14"/>
      <c r="F41" s="14"/>
      <c r="G41" s="14"/>
      <c r="H41" s="14"/>
      <c r="I41" s="14"/>
      <c r="J41" s="14"/>
      <c r="K41" s="14"/>
      <c r="L41" s="14"/>
      <c r="M41" s="14"/>
      <c r="N41" s="14"/>
      <c r="O41" s="14"/>
      <c r="P41" s="14"/>
      <c r="Q41" s="14"/>
      <c r="R41" s="14"/>
    </row>
    <row r="42" spans="4:18" ht="15.6">
      <c r="D42" s="14"/>
      <c r="E42" s="14"/>
      <c r="F42" s="14"/>
      <c r="G42" s="14"/>
      <c r="H42" s="14"/>
      <c r="I42" s="14"/>
      <c r="J42" s="14"/>
      <c r="K42" s="14"/>
      <c r="L42" s="14"/>
      <c r="M42" s="14"/>
      <c r="N42" s="14"/>
      <c r="O42" s="14"/>
      <c r="P42" s="14"/>
      <c r="Q42" s="14"/>
      <c r="R42" s="14"/>
    </row>
    <row r="43" spans="4:18" ht="15.6">
      <c r="D43" s="14"/>
      <c r="E43" s="14"/>
      <c r="F43" s="14"/>
      <c r="G43" s="14"/>
      <c r="H43" s="14"/>
      <c r="I43" s="14"/>
      <c r="J43" s="14"/>
      <c r="K43" s="14"/>
      <c r="L43" s="14"/>
      <c r="M43" s="14"/>
      <c r="N43" s="14"/>
      <c r="O43" s="14"/>
      <c r="P43" s="14"/>
      <c r="Q43" s="14"/>
      <c r="R43" s="14"/>
    </row>
    <row r="44" spans="4:18" ht="15.6">
      <c r="D44" s="14"/>
      <c r="E44" s="14"/>
      <c r="F44" s="14"/>
      <c r="G44" s="14"/>
      <c r="H44" s="14"/>
      <c r="I44" s="14"/>
      <c r="J44" s="14"/>
      <c r="K44" s="14"/>
      <c r="L44" s="14"/>
      <c r="M44" s="14"/>
      <c r="N44" s="14"/>
      <c r="O44" s="14"/>
      <c r="P44" s="14"/>
      <c r="Q44" s="14"/>
      <c r="R44" s="14"/>
    </row>
    <row r="45" spans="4:18" ht="21" customHeight="1">
      <c r="D45" s="14"/>
      <c r="E45" s="14"/>
      <c r="F45" s="14"/>
      <c r="G45" s="14"/>
      <c r="H45" s="14"/>
      <c r="I45" s="14"/>
      <c r="J45" s="14"/>
      <c r="K45" s="14"/>
      <c r="L45" s="14"/>
      <c r="M45" s="14"/>
      <c r="N45" s="14"/>
      <c r="O45" s="14"/>
      <c r="P45" s="14"/>
      <c r="Q45" s="14"/>
      <c r="R45" s="14"/>
    </row>
    <row r="46" spans="4:18" ht="15.6">
      <c r="P46" s="14"/>
      <c r="Q46" s="14"/>
      <c r="R46" s="14"/>
    </row>
    <row r="47" spans="4:18" ht="13.9"/>
    <row r="48" spans="4:18" ht="13.9"/>
    <row r="49" ht="13.9"/>
    <row r="50" ht="13.9"/>
    <row r="51" ht="6" customHeight="1"/>
    <row r="52" ht="13.9"/>
    <row r="53" ht="13.9"/>
    <row r="54" ht="13.9"/>
    <row r="55" ht="63.75" customHeight="1"/>
    <row r="56" ht="105.75" customHeight="1"/>
    <row r="57" ht="48.75" customHeight="1"/>
    <row r="58" ht="105.75" customHeight="1"/>
    <row r="59" ht="105.75" customHeight="1"/>
    <row r="60" ht="105.75" customHeight="1"/>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row r="2" spans="2:42" ht="19.899999999999999" customHeight="1">
      <c r="B2" s="191"/>
      <c r="C2" s="192"/>
      <c r="O2" s="132"/>
      <c r="X2" s="908" t="str">
        <f>IF(OR(COUNTIF($X$12:X257,"*30+*")&gt;0,COUNTIF($AB$12:AB257,"*30+*")&gt;0),"Note; Habitat selected has a time to target condition greater than 30 years. Non standard agreement may be required. ⚠","")</f>
        <v/>
      </c>
      <c r="Y2" s="908"/>
      <c r="Z2" s="908"/>
      <c r="AA2" s="908"/>
      <c r="AB2" s="908"/>
      <c r="AC2" s="908"/>
    </row>
    <row r="3" spans="2:42" ht="19.149999999999999" customHeight="1">
      <c r="B3" s="1006" t="e">
        <f ca="1">MID(CELL("filename",A1),FIND("]",CELL("filename",A1))+1,256)</f>
        <v>#VALUE!</v>
      </c>
      <c r="C3" s="1007"/>
      <c r="X3" s="908"/>
      <c r="Y3" s="908"/>
      <c r="Z3" s="908"/>
      <c r="AA3" s="908"/>
      <c r="AB3" s="908"/>
      <c r="AC3" s="908"/>
    </row>
    <row r="4" spans="2:42" ht="15.75" customHeight="1">
      <c r="B4" s="1008"/>
      <c r="C4" s="1009"/>
      <c r="X4" s="908"/>
      <c r="Y4" s="908"/>
      <c r="Z4" s="908"/>
      <c r="AA4" s="908"/>
      <c r="AB4" s="908"/>
      <c r="AC4" s="908"/>
    </row>
    <row r="5" spans="2:42" ht="15.75" customHeight="1">
      <c r="W5" s="193"/>
      <c r="X5" s="193"/>
      <c r="Y5" s="193"/>
      <c r="Z5" s="193"/>
      <c r="AA5" s="193"/>
      <c r="AB5" s="193"/>
      <c r="AC5" s="193"/>
      <c r="AD5" s="193"/>
      <c r="AE5" s="193"/>
      <c r="AF5" s="193"/>
      <c r="AG5" s="193"/>
      <c r="AH5" s="193"/>
    </row>
    <row r="6" spans="2:42" ht="27.6" customHeight="1"/>
    <row r="7" spans="2:42" ht="14.45" thickBot="1">
      <c r="B7" s="132"/>
      <c r="C7" s="132"/>
      <c r="M7" s="131"/>
    </row>
    <row r="8" spans="2:42" ht="14.45" thickBot="1">
      <c r="M8" s="950" t="s">
        <v>350</v>
      </c>
      <c r="N8" s="951"/>
      <c r="O8" s="951"/>
      <c r="P8" s="951"/>
      <c r="Q8" s="951"/>
      <c r="R8" s="951"/>
      <c r="S8" s="951"/>
      <c r="T8" s="951"/>
      <c r="U8" s="951"/>
      <c r="V8" s="951"/>
      <c r="W8" s="951"/>
      <c r="X8" s="951"/>
      <c r="Y8" s="951"/>
      <c r="Z8" s="951"/>
      <c r="AA8" s="951"/>
      <c r="AB8" s="951"/>
      <c r="AC8" s="951"/>
      <c r="AD8" s="951"/>
      <c r="AE8" s="951"/>
      <c r="AF8" s="951"/>
      <c r="AG8" s="951"/>
      <c r="AH8" s="951"/>
      <c r="AI8" s="952"/>
    </row>
    <row r="9" spans="2:42" ht="14.45" thickBot="1">
      <c r="C9" s="131"/>
      <c r="D9" s="131"/>
      <c r="E9" s="131"/>
      <c r="F9" s="131"/>
      <c r="G9" s="131"/>
      <c r="H9" s="131"/>
      <c r="I9" s="131"/>
      <c r="J9" s="131"/>
      <c r="K9" s="131"/>
      <c r="L9" s="131"/>
      <c r="M9" s="1002" t="s">
        <v>281</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c r="C10" s="1005" t="s">
        <v>279</v>
      </c>
      <c r="D10" s="1011"/>
      <c r="E10" s="1011"/>
      <c r="F10" s="1011"/>
      <c r="G10" s="1011"/>
      <c r="H10" s="1011"/>
      <c r="I10" s="1011"/>
      <c r="J10" s="1011"/>
      <c r="K10" s="1011"/>
      <c r="L10" s="1012"/>
      <c r="M10" s="1005" t="s">
        <v>351</v>
      </c>
      <c r="N10" s="879" t="s">
        <v>341</v>
      </c>
      <c r="O10" s="877"/>
      <c r="P10" s="938" t="s">
        <v>327</v>
      </c>
      <c r="Q10" s="879" t="s">
        <v>191</v>
      </c>
      <c r="R10" s="877"/>
      <c r="S10" s="879" t="s">
        <v>192</v>
      </c>
      <c r="T10" s="877"/>
      <c r="U10" s="966" t="s">
        <v>193</v>
      </c>
      <c r="V10" s="967"/>
      <c r="W10" s="968"/>
      <c r="X10" s="966" t="s">
        <v>258</v>
      </c>
      <c r="Y10" s="967"/>
      <c r="Z10" s="967"/>
      <c r="AA10" s="967"/>
      <c r="AB10" s="967"/>
      <c r="AC10" s="968"/>
      <c r="AD10" s="939" t="s">
        <v>284</v>
      </c>
      <c r="AE10" s="939"/>
      <c r="AF10" s="939"/>
      <c r="AG10" s="939"/>
      <c r="AH10" s="133" t="s">
        <v>313</v>
      </c>
      <c r="AI10" s="969" t="s">
        <v>313</v>
      </c>
      <c r="AJ10" s="969" t="s">
        <v>335</v>
      </c>
      <c r="AK10" s="966" t="s">
        <v>198</v>
      </c>
      <c r="AL10" s="968"/>
    </row>
    <row r="11" spans="2:42" ht="62.25" customHeight="1" thickBot="1">
      <c r="B11" s="135" t="s">
        <v>286</v>
      </c>
      <c r="C11" s="136" t="s">
        <v>287</v>
      </c>
      <c r="D11" s="136" t="s">
        <v>327</v>
      </c>
      <c r="E11" s="136" t="s">
        <v>289</v>
      </c>
      <c r="F11" s="136" t="s">
        <v>290</v>
      </c>
      <c r="G11" s="136" t="s">
        <v>291</v>
      </c>
      <c r="H11" s="136" t="s">
        <v>292</v>
      </c>
      <c r="I11" s="136" t="s">
        <v>293</v>
      </c>
      <c r="J11" s="136" t="s">
        <v>294</v>
      </c>
      <c r="K11" s="136" t="s">
        <v>295</v>
      </c>
      <c r="L11" s="137" t="s">
        <v>342</v>
      </c>
      <c r="M11" s="1005"/>
      <c r="N11" s="141" t="s">
        <v>343</v>
      </c>
      <c r="O11" s="358" t="s">
        <v>344</v>
      </c>
      <c r="P11" s="939"/>
      <c r="Q11" s="141" t="s">
        <v>191</v>
      </c>
      <c r="R11" s="358" t="s">
        <v>208</v>
      </c>
      <c r="S11" s="141" t="s">
        <v>192</v>
      </c>
      <c r="T11" s="358" t="s">
        <v>208</v>
      </c>
      <c r="U11" s="141" t="s">
        <v>193</v>
      </c>
      <c r="V11" s="103" t="s">
        <v>193</v>
      </c>
      <c r="W11" s="358" t="s">
        <v>261</v>
      </c>
      <c r="X11" s="367" t="s">
        <v>337</v>
      </c>
      <c r="Y11" s="200" t="s">
        <v>300</v>
      </c>
      <c r="Z11" s="200" t="s">
        <v>301</v>
      </c>
      <c r="AA11" s="200" t="s">
        <v>265</v>
      </c>
      <c r="AB11" s="200" t="s">
        <v>266</v>
      </c>
      <c r="AC11" s="201" t="s">
        <v>345</v>
      </c>
      <c r="AD11" s="367" t="s">
        <v>346</v>
      </c>
      <c r="AE11" s="200" t="s">
        <v>338</v>
      </c>
      <c r="AF11" s="200" t="s">
        <v>347</v>
      </c>
      <c r="AG11" s="201" t="s">
        <v>271</v>
      </c>
      <c r="AH11" s="135" t="s">
        <v>316</v>
      </c>
      <c r="AI11" s="1010"/>
      <c r="AJ11" s="996"/>
      <c r="AK11" s="141" t="s">
        <v>217</v>
      </c>
      <c r="AL11" s="358" t="s">
        <v>218</v>
      </c>
      <c r="AP11" s="131" t="s">
        <v>202</v>
      </c>
    </row>
    <row r="12" spans="2:42" ht="13.9">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3.9">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3.9">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3.9">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3.9">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3.9">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3.9">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3.9">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3.9">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3.9">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3.9">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3.9">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3.9">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3.9">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3.9">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3.9">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3.9">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3.9">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3.9">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3.9">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3.9">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3.9">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3.9">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3.9">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3.9">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3.9">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3.9">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3.9">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3.9">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3.9">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3.9">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3.9">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3.9">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3.9">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3.9">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3.9">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3.9">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3.9">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3.9">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3.9">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3.9">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3.9">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3.9">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3.9">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3.9">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3.9">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3.9">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3.9">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3.9">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3.9">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3.9">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3.9">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3.9">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3.9">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3.9">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3.9">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3.9">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3.9">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3.9">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3.9">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3.9">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3.9">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3.9">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3.9">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3.9">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3.9">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3.9">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3.9">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3.9">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3.9">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3.9">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3.9">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3.9">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3.9">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3.9">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3.9">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3.9">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3.9">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3.9">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3.9">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3.9">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3.9">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3.9">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3.9">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3.9">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3.9">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3.9">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3.9">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3.9">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3.9">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3.9">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3.9">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3.9">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3.9">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3.9">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3.9">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3.9">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3.9">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3.9">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3.9">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3.9">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3.9">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3.9">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3.9">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3.9">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3.9">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3.9">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3.9">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3.9">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3.9">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3.9">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3.9">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3.9">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3.9">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3.9">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3.9">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3.9">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3.9">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3.9">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3.9">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3.9">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3.9">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3.9">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3.9">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3.9">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3.9">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3.9">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3.9">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3.9">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3.9">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3.9">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3.9">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3.9">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3.9">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3.9">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3.9">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3.9">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3.9">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3.9">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3.9">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3.9">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3.9">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3.9">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3.9">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3.9">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3.9">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3.9">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3.9">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3.9">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3.9">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3.9">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3.9">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3.9">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3.9">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3.9">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3.9">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3.9">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3.9">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3.9">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3.9">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3.9">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3.9">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3.9">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3.9">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3.9">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3.9">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3.9">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3.9">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3.9">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3.9">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3.9">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3.9">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3.9">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3.9">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3.9">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3.9">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3.9">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3.9">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3.9">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3.9">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3.9">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3.9">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3.9">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3.9">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3.9">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3.9">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3.9">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3.9">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3.9">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3.9">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3.9">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3.9">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3.9">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3.9">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3.9">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3.9">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3.9">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3.9">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3.9">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3.9">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3.9">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3.9">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3.9">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3.9">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3.9">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3.9">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3.9">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3.9">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3.9">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3.9">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3.9">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3.9">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3.9">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3.9">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3.9">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3.9">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3.9">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3.9">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3.9">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3.9">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3.9">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3.9">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3.9">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3.9">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3.9">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3.9">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3.9">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3.9">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3.9">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3.9">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3.9">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3.9">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3.9">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3.9">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3.9">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3.9">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3.9">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3.9">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3.9">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3.9">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3.9">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3.9">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3.9">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3.9">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3.9">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45" thickBot="1">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45" thickBot="1">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3.9"/>
    <row r="260" spans="2:42" ht="13.9"/>
    <row r="261" spans="2:42" ht="13.9"/>
    <row r="262" spans="2:42" ht="13.9"/>
    <row r="263" spans="2:42" ht="13.9"/>
    <row r="264" spans="2:42" ht="13.9"/>
    <row r="265" spans="2:42" ht="13.9"/>
    <row r="266" spans="2:42" ht="13.9"/>
    <row r="267" spans="2:42" ht="15" hidden="1" customHeight="1"/>
    <row r="268" spans="2:42" ht="15" hidden="1" customHeight="1"/>
    <row r="269" spans="2:42" ht="15" hidden="1" customHeight="1"/>
    <row r="270" spans="2:42" ht="15" hidden="1" customHeight="1"/>
    <row r="271" spans="2:42" ht="15" hidden="1" customHeight="1"/>
    <row r="272" spans="2:4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c r="B1" s="31"/>
      <c r="C1" s="31"/>
    </row>
    <row r="2" spans="2:42" ht="19.5" customHeight="1" thickBot="1">
      <c r="B2" s="986" t="str">
        <f>IF([2]Start!F12="","",[2]Start!F12)</f>
        <v/>
      </c>
      <c r="C2" s="987"/>
      <c r="D2" s="988"/>
    </row>
    <row r="3" spans="2:42" ht="15" customHeight="1">
      <c r="B3" s="1015" t="e">
        <f ca="1">MID(CELL("filename",A1),FIND("]",CELL("filename",A1))+1,256)</f>
        <v>#VALUE!</v>
      </c>
      <c r="C3" s="1016"/>
      <c r="D3" s="1017"/>
    </row>
    <row r="4" spans="2:42" ht="19.899999999999999" customHeight="1" thickBot="1">
      <c r="B4" s="943"/>
      <c r="C4" s="944"/>
      <c r="D4" s="945"/>
    </row>
    <row r="5" spans="2:42" ht="19.149999999999999" customHeight="1">
      <c r="B5" s="31"/>
      <c r="C5" s="31"/>
      <c r="F5" s="131"/>
      <c r="T5" s="1018" t="str">
        <f>IF(SUM(AG10:AG257)&gt;0,"Check Lengths ⚠","")</f>
        <v/>
      </c>
      <c r="U5" s="1018"/>
      <c r="V5" s="1018"/>
      <c r="W5" s="1018"/>
      <c r="X5" s="1018"/>
      <c r="Y5" s="1018"/>
    </row>
    <row r="6" spans="2:42" ht="15.75" customHeight="1">
      <c r="B6" s="31"/>
      <c r="C6" s="31"/>
      <c r="T6" s="1018"/>
      <c r="U6" s="1018"/>
      <c r="V6" s="1018"/>
      <c r="W6" s="1018"/>
      <c r="X6" s="1018"/>
      <c r="Y6" s="1018"/>
    </row>
    <row r="7" spans="2:42" ht="46.15" customHeight="1" thickBot="1"/>
    <row r="8" spans="2:42" ht="28.15" thickBot="1">
      <c r="C8" s="949" t="s">
        <v>352</v>
      </c>
      <c r="D8" s="949"/>
      <c r="E8" s="949"/>
      <c r="F8" s="939" t="s">
        <v>305</v>
      </c>
      <c r="G8" s="939"/>
      <c r="H8" s="939" t="s">
        <v>306</v>
      </c>
      <c r="I8" s="939"/>
      <c r="J8" s="949" t="s">
        <v>193</v>
      </c>
      <c r="K8" s="949"/>
      <c r="L8" s="949"/>
      <c r="M8" s="939" t="s">
        <v>353</v>
      </c>
      <c r="N8" s="939"/>
      <c r="O8" s="939" t="s">
        <v>354</v>
      </c>
      <c r="P8" s="939"/>
      <c r="Q8" s="938" t="s">
        <v>342</v>
      </c>
      <c r="R8" s="167" t="s">
        <v>195</v>
      </c>
      <c r="S8" s="134"/>
      <c r="T8" s="949" t="s">
        <v>196</v>
      </c>
      <c r="U8" s="949"/>
      <c r="V8" s="949"/>
      <c r="W8" s="949"/>
      <c r="X8" s="949"/>
      <c r="Y8" s="949"/>
      <c r="Z8" s="985" t="s">
        <v>198</v>
      </c>
      <c r="AA8" s="985"/>
    </row>
    <row r="9" spans="2:42" ht="42" thickBot="1">
      <c r="C9" s="367" t="s">
        <v>286</v>
      </c>
      <c r="D9" s="200" t="s">
        <v>140</v>
      </c>
      <c r="E9" s="201" t="s">
        <v>327</v>
      </c>
      <c r="F9" s="367" t="s">
        <v>191</v>
      </c>
      <c r="G9" s="201" t="s">
        <v>208</v>
      </c>
      <c r="H9" s="367" t="s">
        <v>192</v>
      </c>
      <c r="I9" s="201" t="s">
        <v>208</v>
      </c>
      <c r="J9" s="367" t="s">
        <v>193</v>
      </c>
      <c r="K9" s="200" t="s">
        <v>193</v>
      </c>
      <c r="L9" s="201" t="s">
        <v>355</v>
      </c>
      <c r="M9" s="367" t="s">
        <v>356</v>
      </c>
      <c r="N9" s="201" t="s">
        <v>357</v>
      </c>
      <c r="O9" s="367" t="s">
        <v>356</v>
      </c>
      <c r="P9" s="201" t="s">
        <v>357</v>
      </c>
      <c r="Q9" s="939"/>
      <c r="R9" s="420" t="s">
        <v>358</v>
      </c>
      <c r="S9" s="138"/>
      <c r="T9" s="367" t="s">
        <v>329</v>
      </c>
      <c r="U9" s="200" t="s">
        <v>330</v>
      </c>
      <c r="V9" s="200" t="s">
        <v>331</v>
      </c>
      <c r="W9" s="200" t="s">
        <v>332</v>
      </c>
      <c r="X9" s="200" t="s">
        <v>359</v>
      </c>
      <c r="Y9" s="201" t="s">
        <v>360</v>
      </c>
      <c r="Z9" s="133" t="s">
        <v>361</v>
      </c>
      <c r="AA9" s="133" t="s">
        <v>218</v>
      </c>
      <c r="AG9" s="42" t="s">
        <v>362</v>
      </c>
      <c r="AH9" s="156" t="s">
        <v>221</v>
      </c>
      <c r="AI9" s="156" t="s">
        <v>222</v>
      </c>
      <c r="AK9" s="156" t="s">
        <v>224</v>
      </c>
      <c r="AM9" s="156" t="s">
        <v>221</v>
      </c>
      <c r="AN9" s="156" t="s">
        <v>222</v>
      </c>
      <c r="AP9" s="131" t="s">
        <v>202</v>
      </c>
    </row>
    <row r="10" spans="2:42" ht="13.9">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3.9">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3.9">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3.9">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3.9">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3.9">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3.9">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3.9">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3.9">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3.9">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3.9">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3.9">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3.9">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3.9">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3.9">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3.9">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3.9">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3.9">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3.9">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3.9">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3.9">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3.9">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3.9">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3.9">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3.9">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3.9">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3.9">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3.9">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3.9">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3.9">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3.9">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3.9">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3.9">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3.9">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3.9">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3.9">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3.9">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3.9">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3.9">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3.9">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3.9">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3.9">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3.9">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3.9">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3.9">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3.9">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3.9">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3.9">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3.9">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3.9">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3.9">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3.9">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3.9">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3.9">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3.9">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3.9">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3.9">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3.9">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3.9">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3.9">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3.9">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3.9">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3.9">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3.9">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3.9">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3.9">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3.9">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3.9">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3.9">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3.9">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3.9">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3.9">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3.9">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3.9">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3.9">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3.9">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3.9">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3.9">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3.9">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3.9">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3.9">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3.9">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3.9">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3.9">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3.9">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3.9">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3.9">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3.9">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3.9">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3.9">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3.9">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3.9">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3.9">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3.9">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3.9">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3.9">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3.9">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3.9">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3.9">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3.9">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3.9">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3.9">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3.9">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3.9">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3.9">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3.9">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3.9">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3.9">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3.9">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3.9">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3.9">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3.9">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3.9">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3.9">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3.9">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3.9">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3.9">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3.9">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3.9">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3.9">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3.9">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3.9">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3.9">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3.9">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3.9">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3.9">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3.9">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3.9">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3.9">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3.9">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3.9">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3.9">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3.9">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3.9">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3.9">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3.9">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3.9">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3.9">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3.9">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3.9">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3.9">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3.9">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3.9">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3.9">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3.9">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3.9">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3.9">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3.9">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3.9">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3.9">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3.9">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3.9">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3.9">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3.9">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3.9">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3.9">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3.9">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3.9">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3.9">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3.9">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3.9">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3.9">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3.9">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3.9">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3.9">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3.9">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3.9">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3.9">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3.9">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3.9">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3.9">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3.9">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3.9">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3.9">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3.9">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3.9">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3.9">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3.9">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3.9">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3.9">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3.9">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3.9">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3.9">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3.9">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3.9">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3.9">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3.9">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3.9">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3.9">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3.9">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3.9">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3.9">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3.9">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3.9">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3.9">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3.9">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3.9">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3.9">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3.9">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3.9">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3.9">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3.9">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3.9">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3.9">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3.9">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3.9">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3.9">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3.9">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3.9">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3.9">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3.9">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3.9">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3.9">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3.9">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3.9">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3.9">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3.9">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3.9">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3.9">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3.9">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3.9">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3.9">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3.9">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3.9">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3.9">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3.9">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3.9">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3.9">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3.9">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3.9">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3.9">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3.9">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3.9">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3.9">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3.9">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3.9">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3.9">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3.9">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3.9">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3.9">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3.9">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3.9">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3.9">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3.9">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3.9">
      <c r="B259" s="31"/>
      <c r="C259" s="31"/>
      <c r="S259" s="166"/>
      <c r="T259" s="166"/>
      <c r="U259" s="166"/>
      <c r="V259" s="166"/>
      <c r="W259" s="166"/>
      <c r="X259" s="166"/>
      <c r="Y259" s="166"/>
    </row>
    <row r="260" spans="2:42" ht="13.9"/>
    <row r="261" spans="2:42" ht="13.9"/>
    <row r="262" spans="2:42" ht="13.9"/>
    <row r="263" spans="2:42" ht="13.9"/>
    <row r="264" spans="2:42" ht="13.9"/>
    <row r="265" spans="2:42" ht="13.9"/>
    <row r="266" spans="2:42" ht="13.9"/>
    <row r="267" spans="2:42" ht="13.9"/>
    <row r="268" spans="2:42" ht="13.9"/>
    <row r="269" spans="2:42" ht="13.9"/>
    <row r="270" spans="2:42" ht="13.9"/>
    <row r="271" spans="2:42" ht="13.9"/>
    <row r="272" spans="2:42" ht="13.9"/>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4.45" hidden="1" thickBot="1"/>
    <row r="2" spans="2:34" ht="24.6" customHeight="1" thickBot="1">
      <c r="B2" s="986" t="str">
        <f>IF([2]Start!F12="","",[2]Start!F12)</f>
        <v/>
      </c>
      <c r="C2" s="987"/>
      <c r="D2" s="987"/>
      <c r="E2" s="988"/>
    </row>
    <row r="3" spans="2:34" ht="15.6" customHeight="1" thickBot="1">
      <c r="B3" s="1019" t="e">
        <f ca="1">MID(CELL("filename",A1),FIND("]",CELL("filename",A1))+1,256)</f>
        <v>#VALUE!</v>
      </c>
      <c r="C3" s="1020"/>
      <c r="D3" s="1020"/>
      <c r="E3" s="1021"/>
      <c r="L3" s="908" t="str">
        <f>IF(OR(COUNTIF(L$12:$L260,"*30+*")&gt;0,COUNTIF(P$12:$P260,"*30+*")&gt;0),"Note; Habitat selected has a time to target condition greater than 30 years. Non standard agreement may be required. ⚠","")</f>
        <v/>
      </c>
      <c r="M3" s="908"/>
      <c r="N3" s="908"/>
      <c r="O3" s="908"/>
      <c r="P3" s="908"/>
      <c r="Q3" s="908"/>
    </row>
    <row r="4" spans="2:34" ht="15" customHeight="1" thickBot="1">
      <c r="B4" s="1019"/>
      <c r="C4" s="1020"/>
      <c r="D4" s="1020"/>
      <c r="E4" s="1021"/>
      <c r="L4" s="908"/>
      <c r="M4" s="908"/>
      <c r="N4" s="908"/>
      <c r="O4" s="908"/>
      <c r="P4" s="908"/>
      <c r="Q4" s="908"/>
    </row>
    <row r="5" spans="2:34" ht="26.45" customHeight="1">
      <c r="L5" s="908"/>
      <c r="M5" s="908"/>
      <c r="N5" s="908"/>
      <c r="O5" s="908"/>
      <c r="P5" s="908"/>
      <c r="Q5" s="908"/>
    </row>
    <row r="6" spans="2:34" ht="23.25" customHeight="1">
      <c r="L6" s="402"/>
      <c r="M6" s="402"/>
      <c r="N6" s="402"/>
      <c r="O6" s="402"/>
      <c r="P6" s="402"/>
    </row>
    <row r="7" spans="2:34" ht="6" customHeight="1">
      <c r="L7" s="402"/>
      <c r="M7" s="402"/>
      <c r="N7" s="402"/>
      <c r="O7" s="402"/>
      <c r="P7" s="402"/>
    </row>
    <row r="8" spans="2:34" ht="6" customHeight="1"/>
    <row r="9" spans="2:34" ht="15.75" customHeight="1" thickBot="1"/>
    <row r="10" spans="2:34" s="42" customFormat="1" ht="29.25" customHeight="1" thickBot="1">
      <c r="B10" s="246"/>
      <c r="C10" s="939" t="s">
        <v>334</v>
      </c>
      <c r="D10" s="939"/>
      <c r="E10" s="939" t="s">
        <v>305</v>
      </c>
      <c r="F10" s="939"/>
      <c r="G10" s="939" t="s">
        <v>306</v>
      </c>
      <c r="H10" s="939"/>
      <c r="I10" s="939" t="s">
        <v>193</v>
      </c>
      <c r="J10" s="939"/>
      <c r="K10" s="939"/>
      <c r="L10" s="966" t="s">
        <v>258</v>
      </c>
      <c r="M10" s="967"/>
      <c r="N10" s="967"/>
      <c r="O10" s="967"/>
      <c r="P10" s="967"/>
      <c r="Q10" s="968"/>
      <c r="R10" s="966" t="s">
        <v>259</v>
      </c>
      <c r="S10" s="967"/>
      <c r="T10" s="967"/>
      <c r="U10" s="968"/>
      <c r="V10" s="939" t="s">
        <v>353</v>
      </c>
      <c r="W10" s="939"/>
      <c r="X10" s="939" t="s">
        <v>354</v>
      </c>
      <c r="Y10" s="939"/>
      <c r="Z10" s="938" t="s">
        <v>363</v>
      </c>
      <c r="AA10" s="879" t="s">
        <v>198</v>
      </c>
      <c r="AB10" s="877"/>
    </row>
    <row r="11" spans="2:34" s="42" customFormat="1" ht="55.15">
      <c r="B11" s="135" t="s">
        <v>286</v>
      </c>
      <c r="C11" s="200" t="s">
        <v>140</v>
      </c>
      <c r="D11" s="201" t="s">
        <v>327</v>
      </c>
      <c r="E11" s="367" t="s">
        <v>191</v>
      </c>
      <c r="F11" s="201" t="s">
        <v>208</v>
      </c>
      <c r="G11" s="367" t="s">
        <v>192</v>
      </c>
      <c r="H11" s="201" t="s">
        <v>208</v>
      </c>
      <c r="I11" s="367" t="s">
        <v>193</v>
      </c>
      <c r="J11" s="200" t="s">
        <v>193</v>
      </c>
      <c r="K11" s="201" t="s">
        <v>261</v>
      </c>
      <c r="L11" s="367" t="s">
        <v>337</v>
      </c>
      <c r="M11" s="200" t="s">
        <v>263</v>
      </c>
      <c r="N11" s="200" t="s">
        <v>264</v>
      </c>
      <c r="O11" s="200" t="s">
        <v>265</v>
      </c>
      <c r="P11" s="200" t="s">
        <v>266</v>
      </c>
      <c r="Q11" s="201" t="s">
        <v>345</v>
      </c>
      <c r="R11" s="367" t="s">
        <v>268</v>
      </c>
      <c r="S11" s="200" t="s">
        <v>364</v>
      </c>
      <c r="T11" s="200" t="s">
        <v>270</v>
      </c>
      <c r="U11" s="201" t="s">
        <v>271</v>
      </c>
      <c r="V11" s="141" t="s">
        <v>356</v>
      </c>
      <c r="W11" s="358" t="s">
        <v>357</v>
      </c>
      <c r="X11" s="141" t="s">
        <v>356</v>
      </c>
      <c r="Y11" s="358" t="s">
        <v>357</v>
      </c>
      <c r="Z11" s="939"/>
      <c r="AA11" s="141" t="s">
        <v>217</v>
      </c>
      <c r="AB11" s="358" t="s">
        <v>218</v>
      </c>
      <c r="AH11" s="260" t="s">
        <v>202</v>
      </c>
    </row>
    <row r="12" spans="2:34" ht="75.95" customHeight="1">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3.9">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3.9">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3.9">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3.9">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3.9">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3.9">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3.9">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3.9">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3.9">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3.9">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3.9">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3.9">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3.9">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3.9">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3.9">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3.9">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3.9">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3.9">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3.9">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3.9">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3.9">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3.9">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3.9">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3.9">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3.9">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3.9">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3.9">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3.9">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3.9">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3.9">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3.9">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3.9">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3.9">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3.9">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3.9">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3.9">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3.9">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3.9">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3.9">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3.9">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3.9">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3.9">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3.9">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3.9">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3.9">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3.9">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3.9">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3.9">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3.9">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3.9">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3.9">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3.9">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3.9">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3.9">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3.9">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3.9">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3.9">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3.9">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3.9">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3.9">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3.9">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3.9">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3.9">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3.9">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3.9">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3.9">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3.9">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3.9">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3.9">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3.9">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3.9">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3.9">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3.9">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3.9">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3.9">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3.9">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3.9">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3.9">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3.9">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3.9">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3.9">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3.9">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3.9">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3.9">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3.9">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3.9">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3.9">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3.9">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3.9">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3.9">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3.9">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3.9">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3.9">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3.9">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3.9">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3.9">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3.9">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3.9">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3.9">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3.9">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3.9">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3.9">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3.9">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3.9">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3.9">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3.9">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3.9">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3.9">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3.9">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3.9">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3.9">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3.9">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3.9">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3.9">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3.9">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3.9">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3.9">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3.9">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3.9">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3.9">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3.9">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3.9">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3.9">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3.9">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3.9">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3.9">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3.9">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3.9">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3.9">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3.9">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3.9">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3.9">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3.9">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3.9">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3.9">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3.9">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3.9">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3.9">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3.9">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3.9">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3.9">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3.9">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3.9">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3.9">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3.9">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3.9">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3.9">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3.9">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3.9">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3.9">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3.9">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3.9">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3.9">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3.9">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3.9">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3.9">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3.9">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3.9">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3.9">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3.9">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3.9">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3.9">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3.9">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3.9">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3.9">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3.9">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3.9">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3.9">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3.9">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3.9">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3.9">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3.9">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3.9">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3.9">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3.9">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3.9">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3.9">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3.9">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3.9">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3.9">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3.9">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3.9">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3.9">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3.9">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3.9">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3.9">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3.9">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3.9">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3.9">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3.9">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3.9">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3.9">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3.9">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3.9">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3.9">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3.9">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3.9">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3.9">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3.9">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3.9">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3.9">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3.9">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3.9">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3.9">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3.9">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3.9">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3.9">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3.9">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3.9">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3.9">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3.9">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3.9">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3.9">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3.9">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3.9">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3.9">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3.9">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3.9">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3.9">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3.9">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3.9">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3.9">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3.9">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3.9">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3.9">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3.9">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3.9">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3.9">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3.9">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3.9">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3.9">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3.9">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3.9">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3.9">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3.9">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3.9">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3.9">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3.9">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3.9">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3.9">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3.9">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3.9">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3.9">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3.9">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3.9">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3.9">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45" thickBot="1">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4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row r="262" spans="2:34" ht="27" customHeight="1"/>
    <row r="263" spans="2:34" ht="13.9" hidden="1"/>
    <row r="264" spans="2:34" ht="13.9" hidden="1"/>
    <row r="265" spans="2:34" ht="13.9" hidden="1"/>
    <row r="266" spans="2:34" ht="13.9" hidden="1"/>
    <row r="267" spans="2:34" ht="13.9" hidden="1"/>
    <row r="268" spans="2:34" ht="13.9" hidden="1"/>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row r="2" spans="2:48" ht="27" customHeight="1" thickBot="1">
      <c r="B2" s="986" t="str">
        <f>IF([2]Start!F12="","",[2]Start!F12)</f>
        <v/>
      </c>
      <c r="C2" s="987"/>
      <c r="D2" s="987"/>
      <c r="E2" s="988"/>
      <c r="R2" s="132"/>
      <c r="Y2" s="908" t="str">
        <f>IF(OR(COUNTIF($Y$12:Y259,"*30+*")&gt;0,COUNTIF($AC$12:AC259,"*30+*")&gt;0),"Note; Habitat selected has a time to target condition greater than 30 years. Non standard agreement may be required. ⚠","")</f>
        <v/>
      </c>
      <c r="Z2" s="908"/>
      <c r="AA2" s="908"/>
      <c r="AB2" s="908"/>
      <c r="AC2" s="908"/>
      <c r="AD2" s="908"/>
    </row>
    <row r="3" spans="2:48" ht="18" customHeight="1" thickBot="1">
      <c r="B3" s="1019" t="e">
        <f ca="1">MID(CELL("filename",A1),FIND("]",CELL("filename",A1))+1,256)</f>
        <v>#VALUE!</v>
      </c>
      <c r="C3" s="1020"/>
      <c r="D3" s="1020"/>
      <c r="E3" s="1021"/>
      <c r="Y3" s="908"/>
      <c r="Z3" s="908"/>
      <c r="AA3" s="908"/>
      <c r="AB3" s="908"/>
      <c r="AC3" s="908"/>
      <c r="AD3" s="908"/>
    </row>
    <row r="4" spans="2:48" ht="21" customHeight="1" thickBot="1">
      <c r="B4" s="1019"/>
      <c r="C4" s="1020"/>
      <c r="D4" s="1020"/>
      <c r="E4" s="1021"/>
      <c r="Y4" s="908"/>
      <c r="Z4" s="908"/>
      <c r="AA4" s="908"/>
      <c r="AB4" s="908"/>
      <c r="AC4" s="908"/>
      <c r="AD4" s="908"/>
    </row>
    <row r="5" spans="2:48" ht="15.6" customHeight="1">
      <c r="AH5" s="193"/>
      <c r="AI5" s="193"/>
      <c r="AJ5" s="193"/>
      <c r="AK5" s="193"/>
      <c r="AL5" s="193"/>
    </row>
    <row r="6" spans="2:48" ht="16.149999999999999" customHeight="1">
      <c r="F6" s="131"/>
    </row>
    <row r="7" spans="2:48" ht="13.9"/>
    <row r="8" spans="2:48" ht="14.45" thickBot="1"/>
    <row r="9" spans="2:48" ht="14.45" thickBot="1">
      <c r="C9" s="131"/>
      <c r="D9" s="131"/>
      <c r="E9" s="131"/>
      <c r="F9" s="131"/>
      <c r="G9" s="131"/>
      <c r="H9" s="131"/>
      <c r="I9" s="131"/>
      <c r="J9" s="131"/>
      <c r="K9" s="131"/>
      <c r="L9" s="131"/>
      <c r="M9" s="131"/>
      <c r="N9" s="950" t="s">
        <v>255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c r="C10" s="938" t="s">
        <v>279</v>
      </c>
      <c r="D10" s="938"/>
      <c r="E10" s="938"/>
      <c r="F10" s="938"/>
      <c r="G10" s="938"/>
      <c r="H10" s="938"/>
      <c r="I10" s="938"/>
      <c r="J10" s="938"/>
      <c r="K10" s="938"/>
      <c r="L10" s="938"/>
      <c r="M10" s="938"/>
      <c r="N10" s="966" t="s">
        <v>365</v>
      </c>
      <c r="O10" s="992" t="s">
        <v>281</v>
      </c>
      <c r="P10" s="992"/>
      <c r="Q10" s="939" t="s">
        <v>327</v>
      </c>
      <c r="R10" s="939" t="s">
        <v>305</v>
      </c>
      <c r="S10" s="939"/>
      <c r="T10" s="939" t="s">
        <v>306</v>
      </c>
      <c r="U10" s="939"/>
      <c r="V10" s="966" t="s">
        <v>193</v>
      </c>
      <c r="W10" s="967"/>
      <c r="X10" s="968"/>
      <c r="Y10" s="966" t="s">
        <v>258</v>
      </c>
      <c r="Z10" s="967"/>
      <c r="AA10" s="967"/>
      <c r="AB10" s="967"/>
      <c r="AC10" s="967"/>
      <c r="AD10" s="968"/>
      <c r="AE10" s="966" t="s">
        <v>259</v>
      </c>
      <c r="AF10" s="967"/>
      <c r="AG10" s="967"/>
      <c r="AH10" s="968"/>
      <c r="AI10" s="939" t="s">
        <v>353</v>
      </c>
      <c r="AJ10" s="939"/>
      <c r="AK10" s="966" t="s">
        <v>354</v>
      </c>
      <c r="AL10" s="968"/>
      <c r="AM10" s="939" t="s">
        <v>363</v>
      </c>
      <c r="AN10" s="879" t="s">
        <v>198</v>
      </c>
      <c r="AO10" s="877"/>
    </row>
    <row r="11" spans="2:48" ht="62.25" customHeight="1">
      <c r="B11" s="135" t="s">
        <v>286</v>
      </c>
      <c r="C11" s="200" t="s">
        <v>287</v>
      </c>
      <c r="D11" s="200" t="s">
        <v>327</v>
      </c>
      <c r="E11" s="200" t="s">
        <v>289</v>
      </c>
      <c r="F11" s="200" t="s">
        <v>290</v>
      </c>
      <c r="G11" s="200" t="s">
        <v>291</v>
      </c>
      <c r="H11" s="200" t="s">
        <v>292</v>
      </c>
      <c r="I11" s="200" t="s">
        <v>293</v>
      </c>
      <c r="J11" s="200" t="s">
        <v>193</v>
      </c>
      <c r="K11" s="200" t="s">
        <v>366</v>
      </c>
      <c r="L11" s="200" t="s">
        <v>342</v>
      </c>
      <c r="M11" s="201" t="s">
        <v>367</v>
      </c>
      <c r="N11" s="1022"/>
      <c r="O11" s="141" t="s">
        <v>343</v>
      </c>
      <c r="P11" s="358" t="s">
        <v>344</v>
      </c>
      <c r="Q11" s="984"/>
      <c r="R11" s="141" t="s">
        <v>191</v>
      </c>
      <c r="S11" s="358" t="s">
        <v>208</v>
      </c>
      <c r="T11" s="141" t="s">
        <v>192</v>
      </c>
      <c r="U11" s="358" t="s">
        <v>208</v>
      </c>
      <c r="V11" s="141" t="s">
        <v>193</v>
      </c>
      <c r="W11" s="103" t="s">
        <v>193</v>
      </c>
      <c r="X11" s="358" t="s">
        <v>261</v>
      </c>
      <c r="Y11" s="141" t="s">
        <v>337</v>
      </c>
      <c r="Z11" s="103" t="s">
        <v>300</v>
      </c>
      <c r="AA11" s="103" t="s">
        <v>301</v>
      </c>
      <c r="AB11" s="103" t="s">
        <v>265</v>
      </c>
      <c r="AC11" s="103" t="s">
        <v>266</v>
      </c>
      <c r="AD11" s="358" t="s">
        <v>345</v>
      </c>
      <c r="AE11" s="141" t="s">
        <v>346</v>
      </c>
      <c r="AF11" s="103" t="s">
        <v>338</v>
      </c>
      <c r="AG11" s="103" t="s">
        <v>303</v>
      </c>
      <c r="AH11" s="358" t="s">
        <v>271</v>
      </c>
      <c r="AI11" s="141" t="s">
        <v>356</v>
      </c>
      <c r="AJ11" s="358" t="s">
        <v>357</v>
      </c>
      <c r="AK11" s="141" t="s">
        <v>356</v>
      </c>
      <c r="AL11" s="358" t="s">
        <v>357</v>
      </c>
      <c r="AM11" s="984"/>
      <c r="AN11" s="141" t="s">
        <v>217</v>
      </c>
      <c r="AO11" s="358" t="s">
        <v>218</v>
      </c>
      <c r="AV11" s="260" t="s">
        <v>202</v>
      </c>
    </row>
    <row r="12" spans="2:48" ht="13.9">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3.9">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3.9">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3.9">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3.9">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3.9">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3.9">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3.9">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3.9">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3.9">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3.9">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3.9">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3.9">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3.9">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3.9">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3.9">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3.9">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3.9">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3.9">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3.9">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3.9">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3.9">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3.9">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3.9">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3.9">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3.9">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3.9">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3.9">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3.9">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3.9">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3.9">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3.9">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3.9">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3.9">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3.9">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3.9">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3.9">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3.9">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3.9">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3.9">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3.9">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3.9">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3.9">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3.9">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3.9">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3.9">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3.9">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3.9">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3.9">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3.9">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3.9">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3.9">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3.9">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3.9">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3.9">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3.9">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3.9">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3.9">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3.9">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3.9">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3.9">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3.9">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3.9">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3.9">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3.9">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3.9">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3.9">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3.9">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3.9">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3.9">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3.9">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3.9">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3.9">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3.9">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3.9">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3.9">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3.9">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3.9">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3.9">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3.9">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3.9">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3.9">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3.9">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3.9">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3.9">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3.9">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3.9">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3.9">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3.9">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3.9">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3.9">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3.9">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3.9">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3.9">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3.9">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3.9">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3.9">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3.9">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3.9">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3.9">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3.9">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3.9">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3.9">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3.9">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3.9">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3.9">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3.9">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3.9">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3.9">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3.9">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3.9">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3.9">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3.9">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3.9">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3.9">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3.9">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3.9">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3.9">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3.9">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3.9">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3.9">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3.9">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3.9">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3.9">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3.9">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3.9">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3.9">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3.9">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3.9">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3.9">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3.9">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3.9">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3.9">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3.9">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3.9">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3.9">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3.9">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3.9">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3.9">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3.9">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3.9">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3.9">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3.9">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3.9">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3.9">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3.9">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3.9">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3.9">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3.9">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3.9">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3.9">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3.9">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3.9">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3.9">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3.9">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3.9">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3.9">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3.9">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3.9">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3.9">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3.9">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3.9">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3.9">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3.9">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3.9">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3.9">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3.9">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3.9">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3.9">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3.9">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3.9">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3.9">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3.9">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3.9">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3.9">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3.9">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3.9">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3.9">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3.9">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3.9">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3.9">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3.9">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3.9">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3.9">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3.9">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3.9">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3.9">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3.9">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3.9">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3.9">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3.9">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3.9">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3.9">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3.9">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3.9">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3.9">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3.9">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3.9">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3.9">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3.9">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3.9">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3.9">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3.9">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3.9">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3.9">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3.9">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3.9">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3.9">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3.9">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3.9">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3.9">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3.9">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3.9">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3.9">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3.9">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3.9">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3.9">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3.9">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3.9">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3.9">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3.9">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3.9">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3.9">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3.9">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3.9">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3.9">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3.9">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3.9">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3.9">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3.9">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3.9">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3.9">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3.9">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3.9">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3.9">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3.9">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3.9">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3.9">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3.9">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3.9">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3.9">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3.9">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3.9">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3.9">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3.9">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45" thickBot="1">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45" thickBot="1">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3.9">
      <c r="AJ259" s="31" t="str">
        <f>IF(AI259="","",IF(VLOOKUP(AI259,'[2]G-7 Rivers Data'!$AA$4:$AB$6,2,FALSE)=0,"Spatial Data Missing",VLOOKUP(AI259,'[2]G-7 Rivers Data'!$AA$4:$AB$6,2,FALSE)))</f>
        <v/>
      </c>
    </row>
    <row r="260" spans="2:48" ht="13.9"/>
    <row r="261" spans="2:48" ht="13.9"/>
    <row r="262" spans="2:48" ht="13.9"/>
    <row r="263" spans="2:48" ht="13.9"/>
    <row r="264" spans="2:48" ht="13.9"/>
    <row r="265" spans="2:48" ht="13.9"/>
    <row r="266" spans="2:48" ht="13.9"/>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c r="B1" s="31"/>
      <c r="C1" s="31"/>
    </row>
    <row r="2" spans="2:40" ht="19.5" customHeight="1" thickBot="1">
      <c r="B2" s="743" t="str">
        <f>IF([2]Start!$F$12="","",[2]Start!$F$12)</f>
        <v/>
      </c>
      <c r="C2" s="744"/>
      <c r="D2" s="744"/>
      <c r="E2" s="745"/>
    </row>
    <row r="3" spans="2:40" ht="15" customHeight="1" thickBot="1">
      <c r="B3" s="971" t="e">
        <f ca="1">MID(CELL("filename",A1),FIND("]",CELL("filename",A1))+1,256)</f>
        <v>#VALUE!</v>
      </c>
      <c r="C3" s="972"/>
      <c r="D3" s="972"/>
      <c r="E3" s="973"/>
    </row>
    <row r="4" spans="2:40" ht="15" customHeight="1" thickBot="1">
      <c r="B4" s="971"/>
      <c r="C4" s="972"/>
      <c r="D4" s="972"/>
      <c r="E4" s="973"/>
      <c r="S4" s="445"/>
      <c r="T4" s="1018" t="str">
        <f>IF(SUM(AG10:AG257)&gt;0,"Check Lengths ⚠","")</f>
        <v/>
      </c>
      <c r="U4" s="1018"/>
      <c r="V4" s="1018"/>
      <c r="W4" s="1018"/>
      <c r="X4" s="1018"/>
      <c r="Y4" s="1018"/>
    </row>
    <row r="5" spans="2:40" ht="27" customHeight="1">
      <c r="B5" s="31"/>
      <c r="C5" s="31"/>
      <c r="S5" s="445"/>
      <c r="T5" s="1018"/>
      <c r="U5" s="1018"/>
      <c r="V5" s="1018"/>
      <c r="W5" s="1018"/>
      <c r="X5" s="1018"/>
      <c r="Y5" s="1018"/>
    </row>
    <row r="6" spans="2:40" ht="40.15" customHeight="1">
      <c r="B6" s="31"/>
      <c r="C6" s="31"/>
      <c r="D6" s="131"/>
    </row>
    <row r="7" spans="2:40" ht="14.45" thickBot="1"/>
    <row r="8" spans="2:40" ht="30.75" customHeight="1" thickBot="1">
      <c r="C8" s="949" t="s">
        <v>352</v>
      </c>
      <c r="D8" s="949"/>
      <c r="E8" s="949"/>
      <c r="F8" s="939" t="s">
        <v>305</v>
      </c>
      <c r="G8" s="939"/>
      <c r="H8" s="939" t="s">
        <v>306</v>
      </c>
      <c r="I8" s="939"/>
      <c r="J8" s="949" t="s">
        <v>193</v>
      </c>
      <c r="K8" s="949"/>
      <c r="L8" s="949"/>
      <c r="M8" s="939" t="s">
        <v>353</v>
      </c>
      <c r="N8" s="939"/>
      <c r="O8" s="939" t="s">
        <v>354</v>
      </c>
      <c r="P8" s="939"/>
      <c r="Q8" s="938" t="s">
        <v>342</v>
      </c>
      <c r="R8" s="167" t="s">
        <v>195</v>
      </c>
      <c r="S8" s="134"/>
      <c r="T8" s="949" t="s">
        <v>196</v>
      </c>
      <c r="U8" s="949"/>
      <c r="V8" s="949"/>
      <c r="W8" s="949"/>
      <c r="X8" s="949"/>
      <c r="Y8" s="949"/>
      <c r="Z8" s="949" t="s">
        <v>198</v>
      </c>
      <c r="AA8" s="949"/>
    </row>
    <row r="9" spans="2:40" ht="41.45">
      <c r="C9" s="367" t="s">
        <v>286</v>
      </c>
      <c r="D9" s="200" t="s">
        <v>140</v>
      </c>
      <c r="E9" s="201" t="s">
        <v>368</v>
      </c>
      <c r="F9" s="367" t="s">
        <v>191</v>
      </c>
      <c r="G9" s="201" t="s">
        <v>208</v>
      </c>
      <c r="H9" s="367" t="s">
        <v>192</v>
      </c>
      <c r="I9" s="201" t="s">
        <v>208</v>
      </c>
      <c r="J9" s="367" t="s">
        <v>193</v>
      </c>
      <c r="K9" s="200" t="s">
        <v>193</v>
      </c>
      <c r="L9" s="201" t="s">
        <v>261</v>
      </c>
      <c r="M9" s="367" t="s">
        <v>356</v>
      </c>
      <c r="N9" s="201" t="s">
        <v>357</v>
      </c>
      <c r="O9" s="367" t="s">
        <v>356</v>
      </c>
      <c r="P9" s="201" t="s">
        <v>357</v>
      </c>
      <c r="Q9" s="939"/>
      <c r="R9" s="420" t="s">
        <v>358</v>
      </c>
      <c r="S9" s="138"/>
      <c r="T9" s="367" t="s">
        <v>329</v>
      </c>
      <c r="U9" s="200" t="s">
        <v>330</v>
      </c>
      <c r="V9" s="200" t="s">
        <v>331</v>
      </c>
      <c r="W9" s="200" t="s">
        <v>332</v>
      </c>
      <c r="X9" s="200" t="s">
        <v>333</v>
      </c>
      <c r="Y9" s="201" t="s">
        <v>216</v>
      </c>
      <c r="Z9" s="367" t="s">
        <v>217</v>
      </c>
      <c r="AA9" s="201" t="s">
        <v>218</v>
      </c>
      <c r="AF9" s="131" t="s">
        <v>202</v>
      </c>
      <c r="AG9" s="42" t="s">
        <v>369</v>
      </c>
      <c r="AH9" s="139" t="s">
        <v>221</v>
      </c>
      <c r="AI9" s="139" t="s">
        <v>222</v>
      </c>
      <c r="AJ9" s="140"/>
      <c r="AK9" s="139" t="s">
        <v>224</v>
      </c>
      <c r="AL9" s="140"/>
      <c r="AM9" s="139" t="s">
        <v>221</v>
      </c>
      <c r="AN9" s="139" t="s">
        <v>222</v>
      </c>
    </row>
    <row r="10" spans="2:40" ht="13.9">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3.9">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3.9">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3.9">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3.9">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3.9">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3.9">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3.9">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3.9">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3.9">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3.9">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3.9">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3.9">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3.9">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3.9">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3.9">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3.9">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3.9">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3.9">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3.9">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3.9">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3.9">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3.9">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3.9">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3.9">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3.9">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3.9">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3.9">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3.9">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3.9">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3.9">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3.9">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3.9">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3.9">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3.9">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3.9">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3.9">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3.9">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3.9">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3.9">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3.9">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3.9">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3.9">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3.9">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3.9">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3.9">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3.9">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3.9">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3.9">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3.9">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3.9">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3.9">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3.9">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3.9">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3.9">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3.9">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3.9">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3.9">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3.9">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3.9">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3.9">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3.9">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3.9">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3.9">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3.9">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3.9">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3.9">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3.9">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3.9">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3.9">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3.9">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3.9">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3.9">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3.9">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3.9">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3.9">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3.9">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3.9">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3.9">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3.9">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3.9">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3.9">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3.9">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3.9">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3.9">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3.9">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3.9">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3.9">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3.9">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3.9">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3.9">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3.9">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3.9">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3.9">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3.9">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3.9">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3.9">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3.9">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3.9">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3.9">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3.9">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3.9">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3.9">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3.9">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3.9">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3.9">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3.9">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3.9">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3.9">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3.9">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3.9">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3.9">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3.9">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3.9">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3.9">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3.9">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3.9">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3.9">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3.9">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3.9">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3.9">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3.9">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3.9">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3.9">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3.9">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3.9">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3.9">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3.9">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3.9">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3.9">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3.9">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3.9">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3.9">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3.9">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3.9">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3.9">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3.9">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3.9">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3.9">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3.9">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3.9">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3.9">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3.9">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3.9">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3.9">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3.9">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3.9">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3.9">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3.9">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3.9">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3.9">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3.9">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3.9">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3.9">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3.9">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3.9">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3.9">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3.9">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3.9">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3.9">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3.9">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3.9">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3.9">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3.9">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3.9">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3.9">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3.9">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3.9">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3.9">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3.9">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3.9">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3.9">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3.9">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3.9">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3.9">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3.9">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3.9">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3.9">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3.9">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3.9">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3.9">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3.9">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3.9">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3.9">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3.9">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3.9">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3.9">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3.9">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3.9">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3.9">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3.9">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3.9">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3.9">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3.9">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3.9">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3.9">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3.9">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3.9">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3.9">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3.9">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3.9">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3.9">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3.9">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3.9">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3.9">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3.9">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3.9">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3.9">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3.9">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3.9">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3.9">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3.9">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3.9">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3.9">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3.9">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3.9">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3.9">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3.9">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3.9">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3.9">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3.9">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3.9">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3.9">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3.9">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3.9">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3.9">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3.9">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3.9">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3.9">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3.9">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3.9">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3.9">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3.9">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3.9">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3.9">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3.9">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3.9">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3.9">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3.9">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3.9">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3.9">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3.9">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3.9">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3.9">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3.9">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3.9">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3.9">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45" thickBot="1">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3.9">
      <c r="B259" s="31"/>
      <c r="C259" s="31"/>
      <c r="S259" s="166"/>
      <c r="T259" s="166"/>
      <c r="U259" s="166"/>
      <c r="V259" s="166"/>
      <c r="W259" s="166"/>
      <c r="X259" s="166"/>
      <c r="Y259" s="166"/>
    </row>
    <row r="260" spans="2:40" ht="13.9"/>
    <row r="261" spans="2:40" ht="13.9"/>
    <row r="262" spans="2:40" ht="13.9"/>
    <row r="263" spans="2:40" ht="13.9"/>
    <row r="264" spans="2:40" ht="13.9"/>
    <row r="265" spans="2:40" ht="13.9"/>
    <row r="266" spans="2:40" ht="13.9"/>
    <row r="267" spans="2:40" ht="13.9"/>
    <row r="268" spans="2:40" ht="13.9"/>
    <row r="269" spans="2:40" ht="13.9"/>
    <row r="270" spans="2:40" ht="13.9"/>
    <row r="271" spans="2:40" ht="13.9"/>
    <row r="272" spans="2:40" ht="13.9"/>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4.45" thickBot="1"/>
    <row r="2" spans="2:37" ht="18.600000000000001" customHeight="1" thickBot="1">
      <c r="B2" s="743" t="str">
        <f>IF([2]Start!$F$12="","",[2]Start!$F$12)</f>
        <v/>
      </c>
      <c r="C2" s="744"/>
      <c r="D2" s="745"/>
      <c r="L2" s="908" t="str">
        <f>IF(OR(COUNTIF(L$12:$L259,"*30+*")&gt;0,COUNTIF(P$12:$P259,"*30+*")&gt;0),"Note; Habitat selected has a time to target condition greater than 30 years. Non standard agreement may be required.","")</f>
        <v/>
      </c>
      <c r="M2" s="908"/>
      <c r="N2" s="908"/>
      <c r="O2" s="908"/>
      <c r="P2" s="908"/>
      <c r="Q2" s="908"/>
    </row>
    <row r="3" spans="2:37" ht="15.6" customHeight="1" thickBot="1">
      <c r="B3" s="971" t="e">
        <f ca="1">MID(CELL("filename",A1),FIND("]",CELL("filename",A1))+1,256)</f>
        <v>#VALUE!</v>
      </c>
      <c r="C3" s="972"/>
      <c r="D3" s="973"/>
      <c r="L3" s="908"/>
      <c r="M3" s="908"/>
      <c r="N3" s="908"/>
      <c r="O3" s="908"/>
      <c r="P3" s="908"/>
      <c r="Q3" s="908"/>
    </row>
    <row r="4" spans="2:37" ht="9.6" customHeight="1" thickBot="1">
      <c r="B4" s="971"/>
      <c r="C4" s="972"/>
      <c r="D4" s="973"/>
      <c r="L4" s="908"/>
      <c r="M4" s="908"/>
      <c r="N4" s="908"/>
      <c r="O4" s="908"/>
      <c r="P4" s="908"/>
      <c r="Q4" s="908"/>
    </row>
    <row r="5" spans="2:37" ht="26.45" customHeight="1">
      <c r="L5" s="908"/>
      <c r="M5" s="908"/>
      <c r="N5" s="908"/>
      <c r="O5" s="908"/>
      <c r="P5" s="908"/>
      <c r="Q5" s="908"/>
    </row>
    <row r="6" spans="2:37" ht="23.25" customHeight="1">
      <c r="D6" s="131"/>
      <c r="L6" s="402"/>
      <c r="M6" s="402"/>
      <c r="N6" s="402"/>
      <c r="O6" s="402"/>
      <c r="P6" s="402"/>
    </row>
    <row r="7" spans="2:37" ht="13.9"/>
    <row r="8" spans="2:37" ht="13.9"/>
    <row r="9" spans="2:37" ht="15.75" customHeight="1" thickBot="1"/>
    <row r="10" spans="2:37" s="42" customFormat="1" ht="29.25" customHeight="1" thickBot="1">
      <c r="B10" s="246"/>
      <c r="C10" s="966" t="s">
        <v>334</v>
      </c>
      <c r="D10" s="968"/>
      <c r="E10" s="966" t="s">
        <v>305</v>
      </c>
      <c r="F10" s="968"/>
      <c r="G10" s="966" t="s">
        <v>370</v>
      </c>
      <c r="H10" s="968"/>
      <c r="I10" s="939" t="s">
        <v>193</v>
      </c>
      <c r="J10" s="939"/>
      <c r="K10" s="939"/>
      <c r="L10" s="939" t="s">
        <v>258</v>
      </c>
      <c r="M10" s="939"/>
      <c r="N10" s="939"/>
      <c r="O10" s="939"/>
      <c r="P10" s="939"/>
      <c r="Q10" s="939"/>
      <c r="R10" s="966" t="s">
        <v>259</v>
      </c>
      <c r="S10" s="967"/>
      <c r="T10" s="967"/>
      <c r="U10" s="968"/>
      <c r="V10" s="939" t="s">
        <v>353</v>
      </c>
      <c r="W10" s="939"/>
      <c r="X10" s="939" t="s">
        <v>354</v>
      </c>
      <c r="Y10" s="939"/>
      <c r="Z10" s="939" t="s">
        <v>316</v>
      </c>
      <c r="AA10" s="939"/>
      <c r="AB10" s="938" t="s">
        <v>363</v>
      </c>
      <c r="AC10" s="879" t="s">
        <v>198</v>
      </c>
      <c r="AD10" s="877"/>
    </row>
    <row r="11" spans="2:37" s="42" customFormat="1" ht="55.15">
      <c r="B11" s="135" t="s">
        <v>286</v>
      </c>
      <c r="C11" s="303" t="s">
        <v>140</v>
      </c>
      <c r="D11" s="201" t="s">
        <v>371</v>
      </c>
      <c r="E11" s="367" t="s">
        <v>191</v>
      </c>
      <c r="F11" s="201" t="s">
        <v>208</v>
      </c>
      <c r="G11" s="367" t="s">
        <v>192</v>
      </c>
      <c r="H11" s="201" t="s">
        <v>208</v>
      </c>
      <c r="I11" s="367" t="s">
        <v>193</v>
      </c>
      <c r="J11" s="200" t="s">
        <v>193</v>
      </c>
      <c r="K11" s="201" t="s">
        <v>261</v>
      </c>
      <c r="L11" s="367" t="s">
        <v>337</v>
      </c>
      <c r="M11" s="200" t="s">
        <v>263</v>
      </c>
      <c r="N11" s="200" t="s">
        <v>264</v>
      </c>
      <c r="O11" s="200" t="s">
        <v>265</v>
      </c>
      <c r="P11" s="200" t="s">
        <v>266</v>
      </c>
      <c r="Q11" s="201" t="s">
        <v>372</v>
      </c>
      <c r="R11" s="367" t="s">
        <v>268</v>
      </c>
      <c r="S11" s="200" t="s">
        <v>315</v>
      </c>
      <c r="T11" s="200" t="s">
        <v>270</v>
      </c>
      <c r="U11" s="201" t="s">
        <v>271</v>
      </c>
      <c r="V11" s="367" t="s">
        <v>356</v>
      </c>
      <c r="W11" s="201" t="s">
        <v>357</v>
      </c>
      <c r="X11" s="367" t="s">
        <v>356</v>
      </c>
      <c r="Y11" s="201" t="s">
        <v>357</v>
      </c>
      <c r="Z11" s="367" t="s">
        <v>373</v>
      </c>
      <c r="AA11" s="201" t="s">
        <v>357</v>
      </c>
      <c r="AB11" s="939"/>
      <c r="AC11" s="141" t="s">
        <v>217</v>
      </c>
      <c r="AD11" s="358" t="s">
        <v>218</v>
      </c>
      <c r="AK11" s="260" t="s">
        <v>202</v>
      </c>
    </row>
    <row r="12" spans="2:37" ht="13.9">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3.9">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3.9">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3.9">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3.9">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3.9">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3.9">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3.9">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3.9">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3.9">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3.9">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3.9">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3.9">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3.9">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3.9">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3.9">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3.9">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3.9">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3.9">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3.9">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3.9">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3.9">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3.9">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3.9">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3.9">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3.9">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3.9">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3.9">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3.9">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3.9">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3.9">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3.9">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3.9">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3.9">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3.9">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3.9">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3.9">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3.9">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3.9">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3.9">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3.9">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3.9">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3.9">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3.9">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3.9">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3.9">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3.9">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3.9">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3.9">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3.9">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3.9">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3.9">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3.9">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3.9">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3.9">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3.9">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3.9">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3.9">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3.9">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3.9">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3.9">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3.9">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3.9">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3.9">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3.9">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3.9">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3.9">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3.9">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3.9">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3.9">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3.9">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3.9">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3.9">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3.9">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3.9">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3.9">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3.9">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3.9">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3.9">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3.9">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3.9">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3.9">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3.9">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3.9">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3.9">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3.9">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3.9">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3.9">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3.9">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3.9">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3.9">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3.9">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3.9">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3.9">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3.9">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3.9">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3.9">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3.9">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3.9">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3.9">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3.9">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3.9">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3.9">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3.9">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3.9">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3.9">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3.9">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3.9">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3.9">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3.9">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3.9">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3.9">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3.9">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3.9">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3.9">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3.9">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3.9">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3.9">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3.9">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3.9">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3.9">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3.9">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3.9">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3.9">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3.9">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3.9">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3.9">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3.9">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3.9">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3.9">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3.9">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3.9">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3.9">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3.9">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3.9">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3.9">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3.9">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3.9">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3.9">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3.9">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3.9">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3.9">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3.9">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3.9">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3.9">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3.9">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3.9">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3.9">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3.9">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3.9">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3.9">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3.9">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3.9">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3.9">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3.9">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3.9">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3.9">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3.9">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3.9">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3.9">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3.9">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3.9">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3.9">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3.9">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3.9">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3.9">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3.9">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3.9">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3.9">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3.9">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3.9">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3.9">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3.9">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3.9">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3.9">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3.9">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3.9">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3.9">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3.9">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3.9">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3.9">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3.9">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3.9">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3.9">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3.9">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3.9">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3.9">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3.9">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3.9">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3.9">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3.9">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3.9">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3.9">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3.9">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3.9">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3.9">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3.9">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3.9">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3.9">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3.9">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3.9">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3.9">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3.9">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3.9">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3.9">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3.9">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3.9">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3.9">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3.9">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3.9">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3.9">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3.9">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3.9">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3.9">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3.9">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3.9">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3.9">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3.9">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3.9">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3.9">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3.9">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3.9">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3.9">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3.9">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3.9">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3.9">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3.9">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3.9">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3.9">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3.9">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3.9">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3.9">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3.9">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3.9">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3.9">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3.9">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3.9">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3.9">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3.9">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3.9">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3.9">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3.9">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3.9">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3.9">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3.9">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3.9">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3.9">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45" thickBot="1">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4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row r="262" spans="2:37" ht="27" customHeight="1"/>
    <row r="263" spans="2:37" ht="13.9"/>
    <row r="264" spans="2:37" ht="13.9"/>
    <row r="265" spans="2:37" ht="13.9"/>
    <row r="266" spans="2:37" ht="13.9"/>
    <row r="267" spans="2:37" ht="13.9"/>
    <row r="268" spans="2:37" ht="13.9"/>
    <row r="269" spans="2:37" ht="13.9" hidden="1"/>
    <row r="270" spans="2:37" ht="13.9" hidden="1"/>
    <row r="271" spans="2:37" ht="13.9" hidden="1"/>
    <row r="272" spans="2:37" ht="13.9" hidden="1"/>
    <row r="273" ht="13.9" hidden="1"/>
    <row r="274" ht="13.9" hidden="1"/>
    <row r="275" ht="13.9" hidden="1"/>
    <row r="1048576" ht="13.9"/>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row r="2" spans="2:50" ht="27" customHeight="1" thickBot="1">
      <c r="B2" s="743" t="str">
        <f>IF([2]Start!$F$12="","",[2]Start!$F$12)</f>
        <v/>
      </c>
      <c r="C2" s="745"/>
      <c r="R2" s="132"/>
      <c r="Y2" s="908" t="str">
        <f>IF(OR(COUNTIF($Y$12:Y259,"*30+*")&gt;0,COUNTIF($AC$12:AC259,"*30+*")&gt;0),"Note; Habitat selected has a time to target condition greater than 30 years. Non standard agreement may be required. ⚠","")</f>
        <v/>
      </c>
      <c r="Z2" s="908"/>
      <c r="AA2" s="908"/>
      <c r="AB2" s="908"/>
      <c r="AC2" s="908"/>
      <c r="AD2" s="908"/>
    </row>
    <row r="3" spans="2:50" ht="21" customHeight="1">
      <c r="B3" s="1027" t="e">
        <f ca="1">MID(CELL("filename",A1),FIND("]",CELL("filename",A1))+1,256)</f>
        <v>#VALUE!</v>
      </c>
      <c r="C3" s="1028"/>
      <c r="Y3" s="908"/>
      <c r="Z3" s="908"/>
      <c r="AA3" s="908"/>
      <c r="AB3" s="908"/>
      <c r="AC3" s="908"/>
      <c r="AD3" s="908"/>
    </row>
    <row r="4" spans="2:50" ht="21" customHeight="1" thickBot="1">
      <c r="B4" s="1029"/>
      <c r="C4" s="1030"/>
      <c r="Y4" s="908"/>
      <c r="Z4" s="908"/>
      <c r="AA4" s="908"/>
      <c r="AB4" s="908"/>
      <c r="AC4" s="908"/>
      <c r="AD4" s="908"/>
    </row>
    <row r="5" spans="2:50" ht="15.6" customHeight="1">
      <c r="Q5" s="31" t="s">
        <v>374</v>
      </c>
      <c r="AH5" s="193"/>
      <c r="AI5" s="193"/>
      <c r="AJ5" s="193"/>
      <c r="AK5" s="193"/>
      <c r="AL5" s="193"/>
      <c r="AM5" s="193"/>
      <c r="AN5" s="193"/>
    </row>
    <row r="6" spans="2:50" ht="15" customHeight="1"/>
    <row r="7" spans="2:50" ht="13.9">
      <c r="C7" s="131"/>
    </row>
    <row r="8" spans="2:50" ht="14.45" thickBot="1"/>
    <row r="9" spans="2:50" ht="14.45" thickBot="1">
      <c r="C9" s="131"/>
      <c r="D9" s="131"/>
      <c r="E9" s="131"/>
      <c r="F9" s="131"/>
      <c r="G9" s="131"/>
      <c r="H9" s="131"/>
      <c r="I9" s="131"/>
      <c r="J9" s="131"/>
      <c r="K9" s="131"/>
      <c r="L9" s="131"/>
      <c r="M9" s="131"/>
      <c r="N9" s="950" t="s">
        <v>255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c r="C10" s="1005" t="s">
        <v>279</v>
      </c>
      <c r="D10" s="1011"/>
      <c r="E10" s="1011"/>
      <c r="F10" s="1011"/>
      <c r="G10" s="1011"/>
      <c r="H10" s="1011"/>
      <c r="I10" s="1011"/>
      <c r="J10" s="1011"/>
      <c r="K10" s="1011"/>
      <c r="L10" s="1011"/>
      <c r="M10" s="1011"/>
      <c r="N10" s="1033" t="s">
        <v>375</v>
      </c>
      <c r="O10" s="1031" t="s">
        <v>281</v>
      </c>
      <c r="P10" s="1032"/>
      <c r="Q10" s="939" t="s">
        <v>327</v>
      </c>
      <c r="R10" s="939" t="s">
        <v>305</v>
      </c>
      <c r="S10" s="939"/>
      <c r="T10" s="939" t="s">
        <v>306</v>
      </c>
      <c r="U10" s="939"/>
      <c r="V10" s="966" t="s">
        <v>193</v>
      </c>
      <c r="W10" s="967"/>
      <c r="X10" s="968"/>
      <c r="Y10" s="966" t="s">
        <v>258</v>
      </c>
      <c r="Z10" s="967"/>
      <c r="AA10" s="967"/>
      <c r="AB10" s="967"/>
      <c r="AC10" s="967"/>
      <c r="AD10" s="968"/>
      <c r="AE10" s="966" t="s">
        <v>259</v>
      </c>
      <c r="AF10" s="967"/>
      <c r="AG10" s="967"/>
      <c r="AH10" s="968"/>
      <c r="AI10" s="939" t="s">
        <v>353</v>
      </c>
      <c r="AJ10" s="939"/>
      <c r="AK10" s="966" t="s">
        <v>354</v>
      </c>
      <c r="AL10" s="968"/>
      <c r="AM10" s="939" t="s">
        <v>316</v>
      </c>
      <c r="AN10" s="966"/>
      <c r="AO10" s="960" t="s">
        <v>363</v>
      </c>
      <c r="AP10" s="879" t="s">
        <v>198</v>
      </c>
      <c r="AQ10" s="877"/>
    </row>
    <row r="11" spans="2:50" ht="60" customHeight="1" thickBot="1">
      <c r="B11" s="135" t="s">
        <v>286</v>
      </c>
      <c r="C11" s="136" t="s">
        <v>287</v>
      </c>
      <c r="D11" s="136" t="s">
        <v>327</v>
      </c>
      <c r="E11" s="136" t="s">
        <v>289</v>
      </c>
      <c r="F11" s="136" t="s">
        <v>290</v>
      </c>
      <c r="G11" s="136" t="s">
        <v>291</v>
      </c>
      <c r="H11" s="136" t="s">
        <v>292</v>
      </c>
      <c r="I11" s="136" t="s">
        <v>293</v>
      </c>
      <c r="J11" s="136" t="s">
        <v>193</v>
      </c>
      <c r="K11" s="136" t="s">
        <v>294</v>
      </c>
      <c r="L11" s="136" t="s">
        <v>342</v>
      </c>
      <c r="M11" s="137" t="s">
        <v>367</v>
      </c>
      <c r="N11" s="1034"/>
      <c r="O11" s="367" t="s">
        <v>343</v>
      </c>
      <c r="P11" s="358" t="s">
        <v>344</v>
      </c>
      <c r="Q11" s="1035"/>
      <c r="R11" s="367" t="s">
        <v>191</v>
      </c>
      <c r="S11" s="201" t="s">
        <v>208</v>
      </c>
      <c r="T11" s="367" t="s">
        <v>192</v>
      </c>
      <c r="U11" s="201" t="s">
        <v>208</v>
      </c>
      <c r="V11" s="367" t="s">
        <v>193</v>
      </c>
      <c r="W11" s="200" t="s">
        <v>193</v>
      </c>
      <c r="X11" s="201" t="s">
        <v>261</v>
      </c>
      <c r="Y11" s="367" t="s">
        <v>337</v>
      </c>
      <c r="Z11" s="200" t="s">
        <v>300</v>
      </c>
      <c r="AA11" s="200" t="s">
        <v>301</v>
      </c>
      <c r="AB11" s="200" t="s">
        <v>265</v>
      </c>
      <c r="AC11" s="200" t="s">
        <v>266</v>
      </c>
      <c r="AD11" s="201" t="s">
        <v>345</v>
      </c>
      <c r="AE11" s="367" t="s">
        <v>346</v>
      </c>
      <c r="AF11" s="200" t="s">
        <v>338</v>
      </c>
      <c r="AG11" s="200" t="s">
        <v>303</v>
      </c>
      <c r="AH11" s="201" t="s">
        <v>271</v>
      </c>
      <c r="AI11" s="367" t="s">
        <v>356</v>
      </c>
      <c r="AJ11" s="201" t="s">
        <v>357</v>
      </c>
      <c r="AK11" s="367" t="s">
        <v>356</v>
      </c>
      <c r="AL11" s="201" t="s">
        <v>357</v>
      </c>
      <c r="AM11" s="367" t="s">
        <v>373</v>
      </c>
      <c r="AN11" s="450" t="s">
        <v>357</v>
      </c>
      <c r="AO11" s="1026"/>
      <c r="AP11" s="141" t="s">
        <v>217</v>
      </c>
      <c r="AQ11" s="358" t="s">
        <v>218</v>
      </c>
      <c r="AX11" s="260" t="s">
        <v>202</v>
      </c>
    </row>
    <row r="12" spans="2:50" ht="13.9">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3.9">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3.9">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3.9">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3.9">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3.9">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3.9">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3.9">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3.9">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3.9">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3.9">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3.9">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3.9">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3.9">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3.9">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3.9">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3.9">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3.9">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3.9">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3.9">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3.9">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3.9">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3.9">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3.9">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3.9">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3.9">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3.9">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3.9">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3.9">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3.9">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3.9">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3.9">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3.9">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3.9">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3.9">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3.9">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3.9">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3.9">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3.9">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3.9">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3.9">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3.9">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3.9">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3.9">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3.9">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3.9">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3.9">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3.9">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3.9">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3.9">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3.9">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3.9">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3.9">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3.9">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3.9">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3.9">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3.9">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3.9">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3.9">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3.9">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3.9">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3.9">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3.9">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3.9">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3.9">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3.9">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3.9">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3.9">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3.9">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3.9">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3.9">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3.9">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3.9">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3.9">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3.9">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3.9">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3.9">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3.9">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3.9">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3.9">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3.9">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3.9">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3.9">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3.9">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3.9">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3.9">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3.9">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3.9">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3.9">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3.9">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3.9">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3.9">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3.9">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3.9">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3.9">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3.9">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3.9">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3.9">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3.9">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3.9">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3.9">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3.9">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3.9">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3.9">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3.9">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3.9">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3.9">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3.9">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3.9">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3.9">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3.9">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3.9">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3.9">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3.9">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3.9">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3.9">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3.9">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3.9">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3.9">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3.9">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3.9">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3.9">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3.9">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3.9">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3.9">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3.9">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3.9">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3.9">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3.9">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3.9">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3.9">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3.9">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3.9">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3.9">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3.9">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3.9">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3.9">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3.9">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3.9">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3.9">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3.9">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3.9">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3.9">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3.9">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3.9">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3.9">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3.9">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3.9">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3.9">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3.9">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3.9">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3.9">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3.9">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3.9">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3.9">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3.9">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3.9">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3.9">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3.9">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3.9">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3.9">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3.9">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3.9">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3.9">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3.9">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3.9">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3.9">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3.9">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3.9">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3.9">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3.9">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3.9">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3.9">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3.9">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3.9">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3.9">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3.9">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3.9">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3.9">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3.9">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3.9">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3.9">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3.9">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3.9">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3.9">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3.9">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3.9">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3.9">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3.9">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3.9">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3.9">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3.9">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3.9">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3.9">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3.9">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3.9">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3.9">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3.9">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3.9">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3.9">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3.9">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3.9">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3.9">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3.9">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3.9">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3.9">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3.9">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3.9">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3.9">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3.9">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3.9">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3.9">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3.9">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3.9">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3.9">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3.9">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3.9">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3.9">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3.9">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3.9">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3.9">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3.9">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3.9">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3.9">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3.9">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3.9">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3.9">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3.9">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3.9">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3.9">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3.9">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3.9">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3.9">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3.9">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3.9">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3.9">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3.9">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3.9">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3.9">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3.9">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3.9">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3.9">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3.9">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3.9">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3.9">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45" thickBot="1">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45" thickBot="1">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3.9">
      <c r="AJ259" s="31" t="str">
        <f>IF(AI259="","",IF(VLOOKUP(AI259,'[2]G-7 Rivers Data'!$AA$4:$AB$6,2,FALSE)=0,"Spatial Data Missing",VLOOKUP(AI259,'[2]G-7 Rivers Data'!$AA$4:$AB$6,2,FALSE)))</f>
        <v/>
      </c>
      <c r="AM259" s="40"/>
    </row>
    <row r="260" spans="2:50" ht="13.9"/>
    <row r="261" spans="2:50" ht="13.9"/>
    <row r="262" spans="2:50" ht="13.9"/>
    <row r="263" spans="2:50" ht="13.9"/>
    <row r="264" spans="2:50" ht="13.9"/>
    <row r="265" spans="2:50" ht="13.9"/>
    <row r="266" spans="2:50" ht="13.9"/>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bottomRight"/>
      <selection pane="bottomLeft" activeCell="S28" sqref="S28"/>
      <selection pane="topRight" activeCell="S28" sqref="S28"/>
    </sheetView>
  </sheetViews>
  <sheetFormatPr defaultColWidth="4.140625" defaultRowHeight="13.9" zeroHeight="1"/>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c r="D1" s="1039" t="s">
        <v>376</v>
      </c>
      <c r="E1" s="1039"/>
      <c r="F1" s="1039"/>
      <c r="G1" s="211"/>
      <c r="H1" s="211"/>
      <c r="I1" s="211"/>
      <c r="J1" s="211"/>
      <c r="V1" s="954" t="s">
        <v>377</v>
      </c>
      <c r="W1" s="1036"/>
      <c r="X1" s="956"/>
      <c r="Z1" s="954" t="s">
        <v>378</v>
      </c>
      <c r="AA1" s="956"/>
      <c r="AF1" s="1037" t="s">
        <v>379</v>
      </c>
      <c r="AG1" s="1037" t="s">
        <v>380</v>
      </c>
    </row>
    <row r="2" spans="1:33" s="117" customFormat="1" ht="41.45" customHeight="1">
      <c r="B2" s="103" t="s">
        <v>381</v>
      </c>
      <c r="C2" s="212" t="s">
        <v>382</v>
      </c>
      <c r="D2" s="212" t="s">
        <v>383</v>
      </c>
      <c r="E2" s="212" t="s">
        <v>384</v>
      </c>
      <c r="F2" s="212" t="s">
        <v>385</v>
      </c>
      <c r="G2" s="212" t="s">
        <v>386</v>
      </c>
      <c r="H2" s="212" t="s">
        <v>387</v>
      </c>
      <c r="I2" s="212" t="s">
        <v>388</v>
      </c>
      <c r="J2" s="212" t="s">
        <v>389</v>
      </c>
      <c r="K2" s="212" t="s">
        <v>390</v>
      </c>
      <c r="L2" s="212" t="s">
        <v>391</v>
      </c>
      <c r="M2" s="212" t="s">
        <v>392</v>
      </c>
      <c r="N2" s="213" t="s">
        <v>393</v>
      </c>
      <c r="O2" s="213" t="s">
        <v>357</v>
      </c>
      <c r="P2" s="213" t="s">
        <v>394</v>
      </c>
      <c r="Q2" s="213" t="s">
        <v>357</v>
      </c>
      <c r="R2" s="213" t="s">
        <v>395</v>
      </c>
      <c r="S2" s="213" t="s">
        <v>396</v>
      </c>
      <c r="T2" s="31"/>
      <c r="U2" s="31"/>
      <c r="V2" s="103" t="s">
        <v>397</v>
      </c>
      <c r="W2" s="103" t="s">
        <v>398</v>
      </c>
      <c r="X2" s="103" t="s">
        <v>399</v>
      </c>
      <c r="Y2" s="31"/>
      <c r="Z2" s="103" t="s">
        <v>400</v>
      </c>
      <c r="AA2" s="103" t="s">
        <v>401</v>
      </c>
      <c r="AB2" s="31"/>
      <c r="AC2" s="31"/>
      <c r="AD2" s="103" t="s">
        <v>402</v>
      </c>
      <c r="AE2" s="31"/>
      <c r="AF2" s="1038"/>
      <c r="AG2" s="1038"/>
    </row>
    <row r="3" spans="1:33" ht="27.6">
      <c r="A3" s="215" t="s">
        <v>403</v>
      </c>
      <c r="B3" s="119" t="s">
        <v>404</v>
      </c>
      <c r="C3" s="570" t="s">
        <v>405</v>
      </c>
      <c r="D3" s="543" t="s">
        <v>406</v>
      </c>
      <c r="E3" s="543"/>
      <c r="F3" s="519" t="s">
        <v>71</v>
      </c>
      <c r="G3" s="543"/>
      <c r="H3" s="519" t="s">
        <v>407</v>
      </c>
      <c r="I3" s="543"/>
      <c r="J3" s="543" t="s">
        <v>408</v>
      </c>
      <c r="K3" s="543" t="s">
        <v>25</v>
      </c>
      <c r="L3" s="543">
        <f t="shared" ref="L3:L8" si="0">IF($K3=$V$3,$W$3,IF($K3=$V$3,$W$3,IF($K3=$V$4,$W$4,IF($K3=$V$5,$W$5,IF($K3=$V$6,$W$6,IF($K3=$V$7,$W$7))))))</f>
        <v>4</v>
      </c>
      <c r="M3" s="543" t="str">
        <f>IF($K3=$V$3,$X$3,IF($K3=$V$4,$X$4,IF($K3=$V$5,$X$5,IF($K3=$V$6,$X$6,IF($K3=$V$7,$X$7)))))</f>
        <v>Same broad habitat or a higher distinctiveness habitat required (≥)</v>
      </c>
      <c r="N3" s="543" t="s">
        <v>158</v>
      </c>
      <c r="O3" s="543">
        <f t="shared" ref="O3:O33" si="1">VLOOKUP(N3,Difficulty,2,FALSE)</f>
        <v>1</v>
      </c>
      <c r="P3" s="543" t="s">
        <v>158</v>
      </c>
      <c r="Q3" s="543">
        <f t="shared" ref="Q3:Q33" si="2">VLOOKUP(P3,Difficulty,2,FALSE)</f>
        <v>1</v>
      </c>
      <c r="R3" s="519"/>
      <c r="S3" s="543"/>
      <c r="V3" s="519" t="s">
        <v>409</v>
      </c>
      <c r="W3" s="543">
        <v>8</v>
      </c>
      <c r="X3" s="621" t="s">
        <v>410</v>
      </c>
      <c r="Z3" s="543" t="s">
        <v>23</v>
      </c>
      <c r="AA3" s="543">
        <v>3</v>
      </c>
      <c r="AD3" s="214" t="s">
        <v>411</v>
      </c>
      <c r="AF3" s="216" t="s">
        <v>71</v>
      </c>
      <c r="AG3" s="216" t="s">
        <v>71</v>
      </c>
    </row>
    <row r="4" spans="1:33">
      <c r="A4" s="215" t="s">
        <v>412</v>
      </c>
      <c r="B4" s="119" t="s">
        <v>413</v>
      </c>
      <c r="C4" s="570" t="s">
        <v>414</v>
      </c>
      <c r="D4" s="543" t="s">
        <v>406</v>
      </c>
      <c r="E4" s="543"/>
      <c r="F4" s="519" t="s">
        <v>71</v>
      </c>
      <c r="G4" s="543"/>
      <c r="H4" s="519" t="s">
        <v>407</v>
      </c>
      <c r="I4" s="543"/>
      <c r="J4" s="543" t="s">
        <v>408</v>
      </c>
      <c r="K4" s="543" t="s">
        <v>25</v>
      </c>
      <c r="L4" s="543">
        <f t="shared" si="0"/>
        <v>4</v>
      </c>
      <c r="M4" s="543" t="str">
        <f t="shared" ref="M4:M71" si="3">IF($K4=$V$3,$X$3,IF($K4=$V$4,$X$4,IF($K4=$V$5,$X$5,IF($K4=$V$6,$X$6,IF($K4=$V$7,$X$7)))))</f>
        <v>Same broad habitat or a higher distinctiveness habitat required (≥)</v>
      </c>
      <c r="N4" s="543" t="s">
        <v>158</v>
      </c>
      <c r="O4" s="543">
        <f t="shared" si="1"/>
        <v>1</v>
      </c>
      <c r="P4" s="543" t="s">
        <v>158</v>
      </c>
      <c r="Q4" s="543">
        <f t="shared" si="2"/>
        <v>1</v>
      </c>
      <c r="R4" s="519"/>
      <c r="S4" s="543"/>
      <c r="V4" s="543" t="s">
        <v>155</v>
      </c>
      <c r="W4" s="543">
        <v>6</v>
      </c>
      <c r="X4" s="622" t="s">
        <v>415</v>
      </c>
      <c r="Z4" s="543" t="s">
        <v>226</v>
      </c>
      <c r="AA4" s="543">
        <v>2.5</v>
      </c>
      <c r="AD4" s="214" t="s">
        <v>416</v>
      </c>
      <c r="AF4" s="216" t="s">
        <v>72</v>
      </c>
      <c r="AG4" s="216" t="s">
        <v>72</v>
      </c>
    </row>
    <row r="5" spans="1:33" ht="41.45">
      <c r="A5" s="215" t="s">
        <v>417</v>
      </c>
      <c r="B5" s="119" t="s">
        <v>418</v>
      </c>
      <c r="C5" s="570" t="s">
        <v>419</v>
      </c>
      <c r="D5" s="543" t="s">
        <v>406</v>
      </c>
      <c r="E5" s="543"/>
      <c r="F5" s="519" t="s">
        <v>71</v>
      </c>
      <c r="G5" s="543"/>
      <c r="H5" s="519" t="s">
        <v>407</v>
      </c>
      <c r="I5" s="543"/>
      <c r="J5" s="543" t="s">
        <v>408</v>
      </c>
      <c r="K5" s="543" t="s">
        <v>25</v>
      </c>
      <c r="L5" s="543">
        <f t="shared" si="0"/>
        <v>4</v>
      </c>
      <c r="M5" s="543" t="str">
        <f t="shared" si="3"/>
        <v>Same broad habitat or a higher distinctiveness habitat required (≥)</v>
      </c>
      <c r="N5" s="543" t="s">
        <v>158</v>
      </c>
      <c r="O5" s="543">
        <f t="shared" si="1"/>
        <v>1</v>
      </c>
      <c r="P5" s="543" t="s">
        <v>158</v>
      </c>
      <c r="Q5" s="543">
        <f t="shared" si="2"/>
        <v>1</v>
      </c>
      <c r="R5" s="519"/>
      <c r="S5" s="543"/>
      <c r="V5" s="543" t="s">
        <v>25</v>
      </c>
      <c r="W5" s="543">
        <v>4</v>
      </c>
      <c r="X5" s="623" t="s">
        <v>157</v>
      </c>
      <c r="Z5" s="543" t="s">
        <v>22</v>
      </c>
      <c r="AA5" s="543">
        <v>2</v>
      </c>
      <c r="AF5" s="216" t="s">
        <v>73</v>
      </c>
      <c r="AG5" s="216" t="s">
        <v>420</v>
      </c>
    </row>
    <row r="6" spans="1:33" ht="27.6">
      <c r="A6" s="215" t="s">
        <v>234</v>
      </c>
      <c r="B6" s="119" t="s">
        <v>421</v>
      </c>
      <c r="C6" s="543" t="s">
        <v>422</v>
      </c>
      <c r="D6" s="543" t="s">
        <v>406</v>
      </c>
      <c r="E6" s="543" t="s">
        <v>423</v>
      </c>
      <c r="F6" s="519" t="s">
        <v>71</v>
      </c>
      <c r="G6" s="543" t="s">
        <v>424</v>
      </c>
      <c r="H6" s="519" t="s">
        <v>407</v>
      </c>
      <c r="I6" s="543" t="s">
        <v>422</v>
      </c>
      <c r="J6" s="543" t="s">
        <v>408</v>
      </c>
      <c r="K6" s="543" t="s">
        <v>25</v>
      </c>
      <c r="L6" s="543">
        <f t="shared" si="0"/>
        <v>4</v>
      </c>
      <c r="M6" s="543" t="str">
        <f t="shared" si="3"/>
        <v>Same broad habitat or a higher distinctiveness habitat required (≥)</v>
      </c>
      <c r="N6" s="543" t="s">
        <v>158</v>
      </c>
      <c r="O6" s="543">
        <f t="shared" si="1"/>
        <v>1</v>
      </c>
      <c r="P6" s="543" t="s">
        <v>158</v>
      </c>
      <c r="Q6" s="543">
        <f t="shared" si="2"/>
        <v>1</v>
      </c>
      <c r="R6" s="519"/>
      <c r="S6" s="543"/>
      <c r="V6" s="543" t="s">
        <v>158</v>
      </c>
      <c r="W6" s="543">
        <v>2</v>
      </c>
      <c r="X6" s="624" t="s">
        <v>159</v>
      </c>
      <c r="Z6" s="543" t="s">
        <v>425</v>
      </c>
      <c r="AA6" s="543">
        <v>1.5</v>
      </c>
      <c r="AF6" s="216" t="s">
        <v>74</v>
      </c>
      <c r="AG6" s="216" t="s">
        <v>74</v>
      </c>
    </row>
    <row r="7" spans="1:33">
      <c r="A7" s="215" t="s">
        <v>426</v>
      </c>
      <c r="B7" s="119" t="s">
        <v>427</v>
      </c>
      <c r="C7" s="543" t="s">
        <v>428</v>
      </c>
      <c r="D7" s="543" t="s">
        <v>406</v>
      </c>
      <c r="E7" s="543"/>
      <c r="F7" s="519" t="s">
        <v>71</v>
      </c>
      <c r="G7" s="543"/>
      <c r="H7" s="519" t="s">
        <v>407</v>
      </c>
      <c r="I7" s="543" t="s">
        <v>428</v>
      </c>
      <c r="J7" s="543" t="s">
        <v>426</v>
      </c>
      <c r="K7" s="543" t="s">
        <v>158</v>
      </c>
      <c r="L7" s="543">
        <f t="shared" si="0"/>
        <v>2</v>
      </c>
      <c r="M7" s="543" t="str">
        <f t="shared" si="3"/>
        <v>Same distinctiveness or better habitat required ≥</v>
      </c>
      <c r="N7" s="543" t="s">
        <v>158</v>
      </c>
      <c r="O7" s="543">
        <f t="shared" si="1"/>
        <v>1</v>
      </c>
      <c r="P7" s="543" t="s">
        <v>158</v>
      </c>
      <c r="Q7" s="543">
        <f t="shared" si="2"/>
        <v>1</v>
      </c>
      <c r="R7" s="519"/>
      <c r="S7" s="543"/>
      <c r="V7" s="543" t="s">
        <v>429</v>
      </c>
      <c r="W7" s="543">
        <v>0</v>
      </c>
      <c r="X7" s="625" t="s">
        <v>430</v>
      </c>
      <c r="Z7" s="543" t="s">
        <v>237</v>
      </c>
      <c r="AA7" s="543">
        <v>1</v>
      </c>
      <c r="AF7" s="216" t="s">
        <v>75</v>
      </c>
      <c r="AG7" s="216" t="s">
        <v>431</v>
      </c>
    </row>
    <row r="8" spans="1:33">
      <c r="A8" s="215" t="s">
        <v>243</v>
      </c>
      <c r="B8" s="119" t="s">
        <v>432</v>
      </c>
      <c r="C8" s="570" t="s">
        <v>433</v>
      </c>
      <c r="D8" s="543" t="s">
        <v>406</v>
      </c>
      <c r="E8" s="543"/>
      <c r="F8" s="519" t="s">
        <v>71</v>
      </c>
      <c r="G8" s="543"/>
      <c r="H8" s="519" t="s">
        <v>407</v>
      </c>
      <c r="I8" s="543"/>
      <c r="J8" s="543" t="s">
        <v>426</v>
      </c>
      <c r="K8" s="543" t="s">
        <v>158</v>
      </c>
      <c r="L8" s="543">
        <f t="shared" si="0"/>
        <v>2</v>
      </c>
      <c r="M8" s="543" t="str">
        <f t="shared" si="3"/>
        <v>Same distinctiveness or better habitat required ≥</v>
      </c>
      <c r="N8" s="543" t="s">
        <v>158</v>
      </c>
      <c r="O8" s="543">
        <f t="shared" si="1"/>
        <v>1</v>
      </c>
      <c r="P8" s="543" t="s">
        <v>158</v>
      </c>
      <c r="Q8" s="543">
        <f t="shared" si="2"/>
        <v>1</v>
      </c>
      <c r="R8" s="519"/>
      <c r="S8" s="543"/>
      <c r="Z8" s="543" t="s">
        <v>231</v>
      </c>
      <c r="AA8" s="543">
        <v>1</v>
      </c>
      <c r="AF8" s="653" t="s">
        <v>76</v>
      </c>
      <c r="AG8" s="653" t="s">
        <v>76</v>
      </c>
    </row>
    <row r="9" spans="1:33">
      <c r="A9" s="215" t="s">
        <v>434</v>
      </c>
      <c r="B9" s="119" t="s">
        <v>435</v>
      </c>
      <c r="C9" s="543" t="s">
        <v>436</v>
      </c>
      <c r="D9" s="543" t="s">
        <v>406</v>
      </c>
      <c r="E9" s="543"/>
      <c r="F9" s="519" t="s">
        <v>71</v>
      </c>
      <c r="G9" s="543"/>
      <c r="H9" s="519" t="s">
        <v>407</v>
      </c>
      <c r="I9" s="543" t="s">
        <v>436</v>
      </c>
      <c r="J9" s="543" t="s">
        <v>434</v>
      </c>
      <c r="K9" s="543" t="s">
        <v>158</v>
      </c>
      <c r="L9" s="543">
        <f t="shared" ref="L9:L48" si="4">IF(K9=$V$3,$W$3,IF(K9=$V$3,$W$3,IF(K9=$V$4,$W$4,IF(K9=$V$5,$W$5,IF(K9=$V$6,$W$6,IF(K9=$V$7,$W$7))))))</f>
        <v>2</v>
      </c>
      <c r="M9" s="543" t="str">
        <f t="shared" si="3"/>
        <v>Same distinctiveness or better habitat required ≥</v>
      </c>
      <c r="N9" s="543" t="s">
        <v>158</v>
      </c>
      <c r="O9" s="543">
        <f t="shared" si="1"/>
        <v>1</v>
      </c>
      <c r="P9" s="543" t="s">
        <v>158</v>
      </c>
      <c r="Q9" s="543">
        <f t="shared" si="2"/>
        <v>1</v>
      </c>
      <c r="R9" s="519"/>
      <c r="S9" s="543"/>
      <c r="Z9" s="543" t="s">
        <v>248</v>
      </c>
      <c r="AA9" s="543">
        <v>0</v>
      </c>
      <c r="AF9" s="216" t="s">
        <v>77</v>
      </c>
      <c r="AG9" s="216" t="s">
        <v>77</v>
      </c>
    </row>
    <row r="10" spans="1:33">
      <c r="A10" s="215" t="s">
        <v>437</v>
      </c>
      <c r="B10" s="119" t="s">
        <v>438</v>
      </c>
      <c r="C10" s="543" t="s">
        <v>439</v>
      </c>
      <c r="D10" s="543" t="s">
        <v>406</v>
      </c>
      <c r="E10" s="543"/>
      <c r="F10" s="519" t="s">
        <v>71</v>
      </c>
      <c r="G10" s="543"/>
      <c r="H10" s="519" t="s">
        <v>407</v>
      </c>
      <c r="I10" s="543" t="s">
        <v>439</v>
      </c>
      <c r="J10" s="543" t="s">
        <v>437</v>
      </c>
      <c r="K10" s="543" t="s">
        <v>158</v>
      </c>
      <c r="L10" s="543">
        <f t="shared" si="4"/>
        <v>2</v>
      </c>
      <c r="M10" s="543" t="str">
        <f t="shared" si="3"/>
        <v>Same distinctiveness or better habitat required ≥</v>
      </c>
      <c r="N10" s="543" t="s">
        <v>158</v>
      </c>
      <c r="O10" s="543">
        <f t="shared" si="1"/>
        <v>1</v>
      </c>
      <c r="P10" s="543" t="s">
        <v>158</v>
      </c>
      <c r="Q10" s="543">
        <f t="shared" si="2"/>
        <v>1</v>
      </c>
      <c r="R10" s="519"/>
      <c r="S10" s="543"/>
      <c r="AF10" s="216" t="s">
        <v>78</v>
      </c>
      <c r="AG10" s="216" t="s">
        <v>440</v>
      </c>
    </row>
    <row r="11" spans="1:33">
      <c r="A11" s="215" t="s">
        <v>441</v>
      </c>
      <c r="B11" s="119" t="s">
        <v>442</v>
      </c>
      <c r="C11" s="543" t="s">
        <v>443</v>
      </c>
      <c r="D11" s="543" t="s">
        <v>406</v>
      </c>
      <c r="E11" s="543"/>
      <c r="F11" s="519" t="s">
        <v>71</v>
      </c>
      <c r="G11" s="543"/>
      <c r="H11" s="519" t="s">
        <v>407</v>
      </c>
      <c r="I11" s="543" t="s">
        <v>443</v>
      </c>
      <c r="J11" s="543" t="s">
        <v>441</v>
      </c>
      <c r="K11" s="543" t="s">
        <v>158</v>
      </c>
      <c r="L11" s="543">
        <f t="shared" si="4"/>
        <v>2</v>
      </c>
      <c r="M11" s="543" t="str">
        <f t="shared" si="3"/>
        <v>Same distinctiveness or better habitat required ≥</v>
      </c>
      <c r="N11" s="543" t="s">
        <v>158</v>
      </c>
      <c r="O11" s="543">
        <f t="shared" si="1"/>
        <v>1</v>
      </c>
      <c r="P11" s="543" t="s">
        <v>158</v>
      </c>
      <c r="Q11" s="543">
        <f t="shared" si="2"/>
        <v>1</v>
      </c>
      <c r="R11" s="519"/>
      <c r="S11" s="543"/>
      <c r="AF11" s="216" t="s">
        <v>82</v>
      </c>
      <c r="AG11" s="216" t="s">
        <v>444</v>
      </c>
    </row>
    <row r="12" spans="1:33" ht="14.45" thickBot="1">
      <c r="A12" s="215" t="s">
        <v>445</v>
      </c>
      <c r="B12" s="217" t="s">
        <v>446</v>
      </c>
      <c r="C12" s="525" t="s">
        <v>447</v>
      </c>
      <c r="D12" s="525" t="s">
        <v>406</v>
      </c>
      <c r="E12" s="525"/>
      <c r="F12" s="507" t="s">
        <v>71</v>
      </c>
      <c r="G12" s="525"/>
      <c r="H12" s="507" t="s">
        <v>407</v>
      </c>
      <c r="I12" s="525" t="s">
        <v>447</v>
      </c>
      <c r="J12" s="525" t="s">
        <v>445</v>
      </c>
      <c r="K12" s="525" t="s">
        <v>158</v>
      </c>
      <c r="L12" s="525">
        <f t="shared" si="4"/>
        <v>2</v>
      </c>
      <c r="M12" s="525" t="str">
        <f t="shared" si="3"/>
        <v>Same distinctiveness or better habitat required ≥</v>
      </c>
      <c r="N12" s="525" t="s">
        <v>158</v>
      </c>
      <c r="O12" s="525">
        <f t="shared" si="1"/>
        <v>1</v>
      </c>
      <c r="P12" s="525" t="s">
        <v>158</v>
      </c>
      <c r="Q12" s="525">
        <f t="shared" si="2"/>
        <v>1</v>
      </c>
      <c r="R12" s="507"/>
      <c r="S12" s="525"/>
      <c r="AF12" s="216" t="s">
        <v>81</v>
      </c>
      <c r="AG12" s="216" t="s">
        <v>448</v>
      </c>
    </row>
    <row r="13" spans="1:33">
      <c r="A13" s="215" t="s">
        <v>449</v>
      </c>
      <c r="B13" s="218" t="s">
        <v>450</v>
      </c>
      <c r="C13" s="520">
        <v>21</v>
      </c>
      <c r="D13" s="520" t="s">
        <v>406</v>
      </c>
      <c r="E13" s="520"/>
      <c r="F13" s="519" t="s">
        <v>72</v>
      </c>
      <c r="G13" s="520"/>
      <c r="H13" s="506" t="s">
        <v>449</v>
      </c>
      <c r="I13" s="520"/>
      <c r="J13" s="520" t="s">
        <v>449</v>
      </c>
      <c r="K13" s="520" t="s">
        <v>155</v>
      </c>
      <c r="L13" s="520">
        <f t="shared" si="4"/>
        <v>6</v>
      </c>
      <c r="M13" s="520" t="str">
        <f t="shared" si="3"/>
        <v>Same habitat required =</v>
      </c>
      <c r="N13" s="520" t="s">
        <v>158</v>
      </c>
      <c r="O13" s="520">
        <f t="shared" si="1"/>
        <v>1</v>
      </c>
      <c r="P13" s="520" t="s">
        <v>25</v>
      </c>
      <c r="Q13" s="520">
        <f t="shared" si="2"/>
        <v>0.67</v>
      </c>
      <c r="R13" s="506"/>
      <c r="S13" s="520"/>
      <c r="AF13" s="216" t="s">
        <v>80</v>
      </c>
      <c r="AG13" s="216" t="s">
        <v>451</v>
      </c>
    </row>
    <row r="14" spans="1:33">
      <c r="A14" s="215" t="s">
        <v>239</v>
      </c>
      <c r="B14" s="119" t="s">
        <v>452</v>
      </c>
      <c r="C14" s="543" t="s">
        <v>453</v>
      </c>
      <c r="D14" s="543" t="s">
        <v>406</v>
      </c>
      <c r="E14" s="543"/>
      <c r="F14" s="519" t="s">
        <v>72</v>
      </c>
      <c r="G14" s="543"/>
      <c r="H14" s="519" t="s">
        <v>454</v>
      </c>
      <c r="I14" s="543" t="s">
        <v>453</v>
      </c>
      <c r="J14" s="543" t="s">
        <v>239</v>
      </c>
      <c r="K14" s="543" t="s">
        <v>158</v>
      </c>
      <c r="L14" s="543">
        <f t="shared" si="4"/>
        <v>2</v>
      </c>
      <c r="M14" s="543" t="str">
        <f t="shared" si="3"/>
        <v>Same distinctiveness or better habitat required ≥</v>
      </c>
      <c r="N14" s="543" t="s">
        <v>158</v>
      </c>
      <c r="O14" s="543">
        <f t="shared" si="1"/>
        <v>1</v>
      </c>
      <c r="P14" s="543" t="s">
        <v>158</v>
      </c>
      <c r="Q14" s="543">
        <f t="shared" si="2"/>
        <v>1</v>
      </c>
      <c r="R14" s="519"/>
      <c r="S14" s="543"/>
      <c r="AF14" s="216" t="s">
        <v>79</v>
      </c>
      <c r="AG14" s="216" t="s">
        <v>455</v>
      </c>
    </row>
    <row r="15" spans="1:33">
      <c r="A15" s="215" t="s">
        <v>456</v>
      </c>
      <c r="B15" s="119" t="s">
        <v>457</v>
      </c>
      <c r="C15" s="543" t="s">
        <v>458</v>
      </c>
      <c r="D15" s="543" t="s">
        <v>406</v>
      </c>
      <c r="E15" s="543"/>
      <c r="F15" s="519" t="s">
        <v>72</v>
      </c>
      <c r="G15" s="543"/>
      <c r="H15" s="519" t="s">
        <v>459</v>
      </c>
      <c r="I15" s="543"/>
      <c r="J15" s="543" t="s">
        <v>459</v>
      </c>
      <c r="K15" s="543" t="s">
        <v>155</v>
      </c>
      <c r="L15" s="543">
        <f t="shared" si="4"/>
        <v>6</v>
      </c>
      <c r="M15" s="543" t="str">
        <f t="shared" si="3"/>
        <v>Same habitat required =</v>
      </c>
      <c r="N15" s="543" t="s">
        <v>155</v>
      </c>
      <c r="O15" s="543">
        <f t="shared" si="1"/>
        <v>0.33</v>
      </c>
      <c r="P15" s="543" t="s">
        <v>25</v>
      </c>
      <c r="Q15" s="543">
        <f t="shared" si="2"/>
        <v>0.67</v>
      </c>
      <c r="R15" s="519"/>
      <c r="S15" s="543"/>
      <c r="AF15" s="216" t="s">
        <v>83</v>
      </c>
      <c r="AG15" s="216" t="s">
        <v>460</v>
      </c>
    </row>
    <row r="16" spans="1:33">
      <c r="A16" s="215" t="s">
        <v>461</v>
      </c>
      <c r="B16" s="119" t="s">
        <v>462</v>
      </c>
      <c r="C16" s="543" t="s">
        <v>463</v>
      </c>
      <c r="D16" s="543" t="s">
        <v>406</v>
      </c>
      <c r="E16" s="543"/>
      <c r="F16" s="519" t="s">
        <v>72</v>
      </c>
      <c r="G16" s="543" t="s">
        <v>464</v>
      </c>
      <c r="H16" s="519" t="s">
        <v>465</v>
      </c>
      <c r="I16" s="543" t="s">
        <v>463</v>
      </c>
      <c r="J16" s="571" t="s">
        <v>461</v>
      </c>
      <c r="K16" s="543" t="s">
        <v>155</v>
      </c>
      <c r="L16" s="543">
        <f t="shared" si="4"/>
        <v>6</v>
      </c>
      <c r="M16" s="543" t="str">
        <f t="shared" si="3"/>
        <v>Same habitat required =</v>
      </c>
      <c r="N16" s="543" t="s">
        <v>155</v>
      </c>
      <c r="O16" s="543">
        <f t="shared" si="1"/>
        <v>0.33</v>
      </c>
      <c r="P16" s="543" t="s">
        <v>155</v>
      </c>
      <c r="Q16" s="543">
        <f t="shared" si="2"/>
        <v>0.33</v>
      </c>
      <c r="R16" s="519"/>
      <c r="S16" s="543"/>
    </row>
    <row r="17" spans="1:19">
      <c r="A17" s="215" t="s">
        <v>273</v>
      </c>
      <c r="B17" s="119" t="s">
        <v>466</v>
      </c>
      <c r="C17" s="543" t="s">
        <v>467</v>
      </c>
      <c r="D17" s="543" t="s">
        <v>406</v>
      </c>
      <c r="E17" s="543" t="s">
        <v>468</v>
      </c>
      <c r="F17" s="519" t="s">
        <v>72</v>
      </c>
      <c r="G17" s="543" t="s">
        <v>469</v>
      </c>
      <c r="H17" s="519" t="s">
        <v>454</v>
      </c>
      <c r="I17" s="543" t="s">
        <v>467</v>
      </c>
      <c r="J17" s="571" t="s">
        <v>273</v>
      </c>
      <c r="K17" s="543" t="s">
        <v>409</v>
      </c>
      <c r="L17" s="543">
        <f t="shared" si="4"/>
        <v>8</v>
      </c>
      <c r="M17" s="543" t="str">
        <f t="shared" si="3"/>
        <v>Bespoke compensation likely to be required 🛠</v>
      </c>
      <c r="N17" s="543" t="s">
        <v>155</v>
      </c>
      <c r="O17" s="543">
        <f t="shared" si="1"/>
        <v>0.33</v>
      </c>
      <c r="P17" s="543" t="s">
        <v>155</v>
      </c>
      <c r="Q17" s="543">
        <f t="shared" si="2"/>
        <v>0.33</v>
      </c>
      <c r="R17" s="519"/>
      <c r="S17" s="543"/>
    </row>
    <row r="18" spans="1:19">
      <c r="A18" s="215" t="s">
        <v>470</v>
      </c>
      <c r="B18" s="119" t="s">
        <v>471</v>
      </c>
      <c r="C18" s="543" t="s">
        <v>472</v>
      </c>
      <c r="D18" s="543" t="s">
        <v>406</v>
      </c>
      <c r="E18" s="543"/>
      <c r="F18" s="519" t="s">
        <v>72</v>
      </c>
      <c r="G18" s="543" t="s">
        <v>473</v>
      </c>
      <c r="H18" s="519" t="s">
        <v>474</v>
      </c>
      <c r="I18" s="543" t="s">
        <v>472</v>
      </c>
      <c r="J18" s="571" t="s">
        <v>470</v>
      </c>
      <c r="K18" s="543" t="s">
        <v>409</v>
      </c>
      <c r="L18" s="543">
        <f t="shared" si="4"/>
        <v>8</v>
      </c>
      <c r="M18" s="543" t="str">
        <f t="shared" si="3"/>
        <v>Bespoke compensation likely to be required 🛠</v>
      </c>
      <c r="N18" s="543" t="s">
        <v>155</v>
      </c>
      <c r="O18" s="543">
        <f t="shared" si="1"/>
        <v>0.33</v>
      </c>
      <c r="P18" s="543" t="s">
        <v>25</v>
      </c>
      <c r="Q18" s="543">
        <f t="shared" si="2"/>
        <v>0.67</v>
      </c>
      <c r="R18" s="519"/>
      <c r="S18" s="543"/>
    </row>
    <row r="19" spans="1:19">
      <c r="A19" s="215" t="s">
        <v>236</v>
      </c>
      <c r="B19" s="119" t="s">
        <v>475</v>
      </c>
      <c r="C19" s="543" t="s">
        <v>476</v>
      </c>
      <c r="D19" s="543" t="s">
        <v>406</v>
      </c>
      <c r="E19" s="543"/>
      <c r="F19" s="519" t="s">
        <v>72</v>
      </c>
      <c r="G19" s="543" t="s">
        <v>476</v>
      </c>
      <c r="H19" s="519" t="s">
        <v>236</v>
      </c>
      <c r="I19" s="519" t="s">
        <v>477</v>
      </c>
      <c r="J19" s="572" t="s">
        <v>236</v>
      </c>
      <c r="K19" s="543" t="s">
        <v>158</v>
      </c>
      <c r="L19" s="543">
        <f t="shared" si="4"/>
        <v>2</v>
      </c>
      <c r="M19" s="573" t="str">
        <f t="shared" si="3"/>
        <v>Same distinctiveness or better habitat required ≥</v>
      </c>
      <c r="N19" s="543" t="s">
        <v>158</v>
      </c>
      <c r="O19" s="543">
        <f t="shared" si="1"/>
        <v>1</v>
      </c>
      <c r="P19" s="543" t="s">
        <v>158</v>
      </c>
      <c r="Q19" s="543">
        <f t="shared" si="2"/>
        <v>1</v>
      </c>
      <c r="R19" s="519"/>
      <c r="S19" s="543"/>
    </row>
    <row r="20" spans="1:19">
      <c r="A20" s="215" t="s">
        <v>478</v>
      </c>
      <c r="B20" s="119" t="s">
        <v>479</v>
      </c>
      <c r="C20" s="543" t="s">
        <v>480</v>
      </c>
      <c r="D20" s="543" t="s">
        <v>406</v>
      </c>
      <c r="E20" s="543"/>
      <c r="F20" s="519" t="s">
        <v>72</v>
      </c>
      <c r="G20" s="543"/>
      <c r="H20" s="519" t="s">
        <v>454</v>
      </c>
      <c r="I20" s="543" t="s">
        <v>480</v>
      </c>
      <c r="J20" s="543" t="s">
        <v>478</v>
      </c>
      <c r="K20" s="543" t="s">
        <v>25</v>
      </c>
      <c r="L20" s="543">
        <f t="shared" si="4"/>
        <v>4</v>
      </c>
      <c r="M20" s="543" t="str">
        <f t="shared" si="3"/>
        <v>Same broad habitat or a higher distinctiveness habitat required (≥)</v>
      </c>
      <c r="N20" s="543" t="s">
        <v>158</v>
      </c>
      <c r="O20" s="543">
        <f t="shared" si="1"/>
        <v>1</v>
      </c>
      <c r="P20" s="543" t="s">
        <v>158</v>
      </c>
      <c r="Q20" s="543">
        <f t="shared" si="2"/>
        <v>1</v>
      </c>
      <c r="R20" s="519"/>
      <c r="S20" s="543"/>
    </row>
    <row r="21" spans="1:19">
      <c r="A21" s="215" t="s">
        <v>481</v>
      </c>
      <c r="B21" s="119" t="s">
        <v>482</v>
      </c>
      <c r="C21" s="543" t="s">
        <v>483</v>
      </c>
      <c r="D21" s="543" t="s">
        <v>406</v>
      </c>
      <c r="E21" s="543"/>
      <c r="F21" s="519" t="s">
        <v>72</v>
      </c>
      <c r="G21" s="543"/>
      <c r="H21" s="519" t="s">
        <v>474</v>
      </c>
      <c r="I21" s="543" t="s">
        <v>483</v>
      </c>
      <c r="J21" s="543" t="s">
        <v>481</v>
      </c>
      <c r="K21" s="543" t="s">
        <v>25</v>
      </c>
      <c r="L21" s="543">
        <f t="shared" si="4"/>
        <v>4</v>
      </c>
      <c r="M21" s="543" t="str">
        <f t="shared" si="3"/>
        <v>Same broad habitat or a higher distinctiveness habitat required (≥)</v>
      </c>
      <c r="N21" s="543" t="s">
        <v>158</v>
      </c>
      <c r="O21" s="543">
        <f t="shared" si="1"/>
        <v>1</v>
      </c>
      <c r="P21" s="543" t="s">
        <v>158</v>
      </c>
      <c r="Q21" s="543">
        <f t="shared" si="2"/>
        <v>1</v>
      </c>
      <c r="R21" s="519"/>
      <c r="S21" s="543"/>
    </row>
    <row r="22" spans="1:19">
      <c r="A22" s="215" t="s">
        <v>484</v>
      </c>
      <c r="B22" s="119" t="s">
        <v>485</v>
      </c>
      <c r="C22" s="543" t="s">
        <v>486</v>
      </c>
      <c r="D22" s="543" t="s">
        <v>406</v>
      </c>
      <c r="E22" s="543"/>
      <c r="F22" s="519" t="s">
        <v>72</v>
      </c>
      <c r="G22" s="543" t="s">
        <v>487</v>
      </c>
      <c r="H22" s="519" t="s">
        <v>488</v>
      </c>
      <c r="I22" s="519"/>
      <c r="J22" s="543" t="s">
        <v>484</v>
      </c>
      <c r="K22" s="543" t="s">
        <v>155</v>
      </c>
      <c r="L22" s="543">
        <f t="shared" si="4"/>
        <v>6</v>
      </c>
      <c r="M22" s="543" t="str">
        <f t="shared" si="3"/>
        <v>Same habitat required =</v>
      </c>
      <c r="N22" s="543" t="s">
        <v>155</v>
      </c>
      <c r="O22" s="543">
        <f t="shared" si="1"/>
        <v>0.33</v>
      </c>
      <c r="P22" s="543" t="s">
        <v>155</v>
      </c>
      <c r="Q22" s="543">
        <f t="shared" si="2"/>
        <v>0.33</v>
      </c>
      <c r="R22" s="519"/>
      <c r="S22" s="543"/>
    </row>
    <row r="23" spans="1:19">
      <c r="A23" s="215" t="s">
        <v>489</v>
      </c>
      <c r="B23" s="119" t="s">
        <v>490</v>
      </c>
      <c r="C23" s="543" t="s">
        <v>491</v>
      </c>
      <c r="D23" s="543" t="s">
        <v>406</v>
      </c>
      <c r="E23" s="543"/>
      <c r="F23" s="519" t="s">
        <v>72</v>
      </c>
      <c r="G23" s="543"/>
      <c r="H23" s="519" t="s">
        <v>454</v>
      </c>
      <c r="I23" s="543" t="s">
        <v>491</v>
      </c>
      <c r="J23" s="571" t="s">
        <v>489</v>
      </c>
      <c r="K23" s="543" t="s">
        <v>25</v>
      </c>
      <c r="L23" s="543">
        <f t="shared" si="4"/>
        <v>4</v>
      </c>
      <c r="M23" s="543" t="str">
        <f t="shared" si="3"/>
        <v>Same broad habitat or a higher distinctiveness habitat required (≥)</v>
      </c>
      <c r="N23" s="543" t="s">
        <v>158</v>
      </c>
      <c r="O23" s="543">
        <f t="shared" si="1"/>
        <v>1</v>
      </c>
      <c r="P23" s="543" t="s">
        <v>158</v>
      </c>
      <c r="Q23" s="543">
        <f t="shared" si="2"/>
        <v>1</v>
      </c>
      <c r="R23" s="519"/>
      <c r="S23" s="543"/>
    </row>
    <row r="24" spans="1:19">
      <c r="A24" s="215" t="s">
        <v>492</v>
      </c>
      <c r="B24" s="119" t="s">
        <v>493</v>
      </c>
      <c r="C24" s="543" t="s">
        <v>494</v>
      </c>
      <c r="D24" s="543" t="s">
        <v>406</v>
      </c>
      <c r="E24" s="543"/>
      <c r="F24" s="519" t="s">
        <v>72</v>
      </c>
      <c r="G24" s="543"/>
      <c r="H24" s="519" t="s">
        <v>465</v>
      </c>
      <c r="I24" s="543" t="s">
        <v>494</v>
      </c>
      <c r="J24" s="571" t="s">
        <v>492</v>
      </c>
      <c r="K24" s="543" t="s">
        <v>155</v>
      </c>
      <c r="L24" s="543">
        <f t="shared" si="4"/>
        <v>6</v>
      </c>
      <c r="M24" s="543" t="str">
        <f t="shared" si="3"/>
        <v>Same habitat required =</v>
      </c>
      <c r="N24" s="543" t="s">
        <v>155</v>
      </c>
      <c r="O24" s="543">
        <f t="shared" si="1"/>
        <v>0.33</v>
      </c>
      <c r="P24" s="543" t="s">
        <v>155</v>
      </c>
      <c r="Q24" s="543">
        <f t="shared" si="2"/>
        <v>0.33</v>
      </c>
      <c r="R24" s="519"/>
      <c r="S24" s="543"/>
    </row>
    <row r="25" spans="1:19" ht="14.45" thickBot="1">
      <c r="A25" s="215" t="s">
        <v>495</v>
      </c>
      <c r="B25" s="217" t="s">
        <v>496</v>
      </c>
      <c r="C25" s="525" t="s">
        <v>497</v>
      </c>
      <c r="D25" s="525" t="s">
        <v>406</v>
      </c>
      <c r="E25" s="525"/>
      <c r="F25" s="507" t="s">
        <v>72</v>
      </c>
      <c r="G25" s="525"/>
      <c r="H25" s="507" t="s">
        <v>474</v>
      </c>
      <c r="I25" s="525" t="s">
        <v>497</v>
      </c>
      <c r="J25" s="574" t="s">
        <v>495</v>
      </c>
      <c r="K25" s="525" t="s">
        <v>409</v>
      </c>
      <c r="L25" s="525">
        <f t="shared" si="4"/>
        <v>8</v>
      </c>
      <c r="M25" s="525" t="str">
        <f t="shared" si="3"/>
        <v>Bespoke compensation likely to be required 🛠</v>
      </c>
      <c r="N25" s="525" t="s">
        <v>155</v>
      </c>
      <c r="O25" s="525">
        <f t="shared" si="1"/>
        <v>0.33</v>
      </c>
      <c r="P25" s="525" t="s">
        <v>25</v>
      </c>
      <c r="Q25" s="525">
        <f t="shared" si="2"/>
        <v>0.67</v>
      </c>
      <c r="R25" s="507"/>
      <c r="S25" s="525"/>
    </row>
    <row r="26" spans="1:19">
      <c r="A26" s="215" t="s">
        <v>498</v>
      </c>
      <c r="B26" s="218" t="s">
        <v>499</v>
      </c>
      <c r="C26" s="520" t="s">
        <v>500</v>
      </c>
      <c r="D26" s="520" t="s">
        <v>406</v>
      </c>
      <c r="E26" s="520"/>
      <c r="F26" s="506" t="s">
        <v>73</v>
      </c>
      <c r="G26" s="520" t="s">
        <v>501</v>
      </c>
      <c r="H26" s="506" t="s">
        <v>502</v>
      </c>
      <c r="I26" s="520" t="s">
        <v>500</v>
      </c>
      <c r="J26" s="520" t="s">
        <v>498</v>
      </c>
      <c r="K26" s="520" t="s">
        <v>25</v>
      </c>
      <c r="L26" s="520">
        <f t="shared" si="4"/>
        <v>4</v>
      </c>
      <c r="M26" s="520" t="str">
        <f t="shared" si="3"/>
        <v>Same broad habitat or a higher distinctiveness habitat required (≥)</v>
      </c>
      <c r="N26" s="520" t="s">
        <v>158</v>
      </c>
      <c r="O26" s="520">
        <f t="shared" si="1"/>
        <v>1</v>
      </c>
      <c r="P26" s="520" t="s">
        <v>158</v>
      </c>
      <c r="Q26" s="520">
        <f t="shared" si="2"/>
        <v>1</v>
      </c>
      <c r="R26" s="506"/>
      <c r="S26" s="520"/>
    </row>
    <row r="27" spans="1:19">
      <c r="A27" s="215" t="s">
        <v>230</v>
      </c>
      <c r="B27" s="119" t="s">
        <v>503</v>
      </c>
      <c r="C27" s="543" t="s">
        <v>504</v>
      </c>
      <c r="D27" s="543" t="s">
        <v>406</v>
      </c>
      <c r="E27" s="543"/>
      <c r="F27" s="519" t="s">
        <v>73</v>
      </c>
      <c r="G27" s="543"/>
      <c r="H27" s="519" t="s">
        <v>502</v>
      </c>
      <c r="I27" s="543" t="s">
        <v>504</v>
      </c>
      <c r="J27" s="543" t="s">
        <v>230</v>
      </c>
      <c r="K27" s="543" t="s">
        <v>25</v>
      </c>
      <c r="L27" s="543">
        <f t="shared" si="4"/>
        <v>4</v>
      </c>
      <c r="M27" s="543" t="str">
        <f t="shared" si="3"/>
        <v>Same broad habitat or a higher distinctiveness habitat required (≥)</v>
      </c>
      <c r="N27" s="543" t="s">
        <v>158</v>
      </c>
      <c r="O27" s="543">
        <f t="shared" si="1"/>
        <v>1</v>
      </c>
      <c r="P27" s="543" t="s">
        <v>158</v>
      </c>
      <c r="Q27" s="543">
        <f t="shared" si="2"/>
        <v>1</v>
      </c>
      <c r="R27" s="519"/>
      <c r="S27" s="543"/>
    </row>
    <row r="28" spans="1:19">
      <c r="A28" s="215" t="s">
        <v>505</v>
      </c>
      <c r="B28" s="119" t="s">
        <v>506</v>
      </c>
      <c r="C28" s="543" t="s">
        <v>507</v>
      </c>
      <c r="D28" s="543" t="s">
        <v>406</v>
      </c>
      <c r="E28" s="543"/>
      <c r="F28" s="519" t="s">
        <v>73</v>
      </c>
      <c r="G28" s="543"/>
      <c r="H28" s="519" t="s">
        <v>502</v>
      </c>
      <c r="I28" s="543" t="s">
        <v>507</v>
      </c>
      <c r="J28" s="543" t="s">
        <v>505</v>
      </c>
      <c r="K28" s="543" t="s">
        <v>25</v>
      </c>
      <c r="L28" s="543">
        <f t="shared" si="4"/>
        <v>4</v>
      </c>
      <c r="M28" s="543" t="str">
        <f t="shared" si="3"/>
        <v>Same broad habitat or a higher distinctiveness habitat required (≥)</v>
      </c>
      <c r="N28" s="543" t="s">
        <v>158</v>
      </c>
      <c r="O28" s="543">
        <f t="shared" si="1"/>
        <v>1</v>
      </c>
      <c r="P28" s="543" t="s">
        <v>158</v>
      </c>
      <c r="Q28" s="543">
        <f t="shared" si="2"/>
        <v>1</v>
      </c>
      <c r="R28" s="519"/>
      <c r="S28" s="543"/>
    </row>
    <row r="29" spans="1:19">
      <c r="A29" s="215" t="s">
        <v>508</v>
      </c>
      <c r="B29" s="119" t="s">
        <v>509</v>
      </c>
      <c r="C29" s="543" t="s">
        <v>510</v>
      </c>
      <c r="D29" s="543" t="s">
        <v>406</v>
      </c>
      <c r="E29" s="543"/>
      <c r="F29" s="519" t="s">
        <v>73</v>
      </c>
      <c r="G29" s="543"/>
      <c r="H29" s="519" t="s">
        <v>502</v>
      </c>
      <c r="I29" s="543" t="s">
        <v>510</v>
      </c>
      <c r="J29" s="543" t="s">
        <v>508</v>
      </c>
      <c r="K29" s="543" t="s">
        <v>25</v>
      </c>
      <c r="L29" s="543">
        <f t="shared" si="4"/>
        <v>4</v>
      </c>
      <c r="M29" s="543" t="str">
        <f t="shared" si="3"/>
        <v>Same broad habitat or a higher distinctiveness habitat required (≥)</v>
      </c>
      <c r="N29" s="543" t="s">
        <v>158</v>
      </c>
      <c r="O29" s="543">
        <f t="shared" si="1"/>
        <v>1</v>
      </c>
      <c r="P29" s="543" t="s">
        <v>158</v>
      </c>
      <c r="Q29" s="543">
        <f t="shared" si="2"/>
        <v>1</v>
      </c>
      <c r="R29" s="519"/>
      <c r="S29" s="543"/>
    </row>
    <row r="30" spans="1:19">
      <c r="A30" s="215" t="s">
        <v>511</v>
      </c>
      <c r="B30" s="119" t="s">
        <v>512</v>
      </c>
      <c r="C30" s="543" t="s">
        <v>513</v>
      </c>
      <c r="D30" s="543" t="s">
        <v>406</v>
      </c>
      <c r="E30" s="543"/>
      <c r="F30" s="519" t="s">
        <v>73</v>
      </c>
      <c r="G30" s="543"/>
      <c r="H30" s="519" t="s">
        <v>502</v>
      </c>
      <c r="I30" s="543" t="s">
        <v>513</v>
      </c>
      <c r="J30" s="543" t="s">
        <v>511</v>
      </c>
      <c r="K30" s="543" t="s">
        <v>25</v>
      </c>
      <c r="L30" s="543">
        <f t="shared" si="4"/>
        <v>4</v>
      </c>
      <c r="M30" s="543" t="str">
        <f t="shared" si="3"/>
        <v>Same broad habitat or a higher distinctiveness habitat required (≥)</v>
      </c>
      <c r="N30" s="543" t="s">
        <v>158</v>
      </c>
      <c r="O30" s="543">
        <f t="shared" si="1"/>
        <v>1</v>
      </c>
      <c r="P30" s="543" t="s">
        <v>158</v>
      </c>
      <c r="Q30" s="543">
        <f t="shared" si="2"/>
        <v>1</v>
      </c>
      <c r="R30" s="519"/>
      <c r="S30" s="543"/>
    </row>
    <row r="31" spans="1:19">
      <c r="A31" s="215" t="s">
        <v>514</v>
      </c>
      <c r="B31" s="119" t="s">
        <v>515</v>
      </c>
      <c r="C31" s="543" t="s">
        <v>516</v>
      </c>
      <c r="D31" s="543" t="s">
        <v>406</v>
      </c>
      <c r="E31" s="543" t="s">
        <v>517</v>
      </c>
      <c r="F31" s="519" t="s">
        <v>73</v>
      </c>
      <c r="G31" s="543" t="s">
        <v>518</v>
      </c>
      <c r="H31" s="519" t="s">
        <v>519</v>
      </c>
      <c r="I31" s="543" t="s">
        <v>516</v>
      </c>
      <c r="J31" s="571" t="s">
        <v>514</v>
      </c>
      <c r="K31" s="543" t="s">
        <v>155</v>
      </c>
      <c r="L31" s="543">
        <f t="shared" si="4"/>
        <v>6</v>
      </c>
      <c r="M31" s="543" t="str">
        <f t="shared" si="3"/>
        <v>Same habitat required =</v>
      </c>
      <c r="N31" s="543" t="s">
        <v>155</v>
      </c>
      <c r="O31" s="543">
        <f t="shared" si="1"/>
        <v>0.33</v>
      </c>
      <c r="P31" s="543" t="s">
        <v>25</v>
      </c>
      <c r="Q31" s="543">
        <f t="shared" si="2"/>
        <v>0.67</v>
      </c>
      <c r="R31" s="519"/>
      <c r="S31" s="543"/>
    </row>
    <row r="32" spans="1:19" ht="27.6">
      <c r="A32" s="215" t="s">
        <v>520</v>
      </c>
      <c r="B32" s="119" t="s">
        <v>521</v>
      </c>
      <c r="C32" s="543" t="s">
        <v>522</v>
      </c>
      <c r="D32" s="543" t="s">
        <v>406</v>
      </c>
      <c r="E32" s="543"/>
      <c r="F32" s="519" t="s">
        <v>73</v>
      </c>
      <c r="G32" s="543"/>
      <c r="H32" s="519" t="s">
        <v>502</v>
      </c>
      <c r="I32" s="543" t="s">
        <v>522</v>
      </c>
      <c r="J32" s="543" t="s">
        <v>520</v>
      </c>
      <c r="K32" s="543" t="s">
        <v>25</v>
      </c>
      <c r="L32" s="543">
        <f t="shared" si="4"/>
        <v>4</v>
      </c>
      <c r="M32" s="543" t="str">
        <f t="shared" si="3"/>
        <v>Same broad habitat or a higher distinctiveness habitat required (≥)</v>
      </c>
      <c r="N32" s="543" t="s">
        <v>158</v>
      </c>
      <c r="O32" s="543">
        <f t="shared" si="1"/>
        <v>1</v>
      </c>
      <c r="P32" s="543" t="s">
        <v>158</v>
      </c>
      <c r="Q32" s="543">
        <f t="shared" si="2"/>
        <v>1</v>
      </c>
      <c r="R32" s="519" t="s">
        <v>523</v>
      </c>
      <c r="S32" s="543"/>
    </row>
    <row r="33" spans="1:19">
      <c r="A33" s="215" t="s">
        <v>524</v>
      </c>
      <c r="B33" s="119" t="s">
        <v>525</v>
      </c>
      <c r="C33" s="543" t="s">
        <v>526</v>
      </c>
      <c r="D33" s="543" t="s">
        <v>406</v>
      </c>
      <c r="E33" s="543"/>
      <c r="F33" s="519" t="s">
        <v>73</v>
      </c>
      <c r="G33" s="543"/>
      <c r="H33" s="519" t="s">
        <v>519</v>
      </c>
      <c r="I33" s="543" t="s">
        <v>526</v>
      </c>
      <c r="J33" s="571" t="s">
        <v>524</v>
      </c>
      <c r="K33" s="543" t="s">
        <v>409</v>
      </c>
      <c r="L33" s="543">
        <f t="shared" si="4"/>
        <v>8</v>
      </c>
      <c r="M33" s="543" t="str">
        <f t="shared" si="3"/>
        <v>Bespoke compensation likely to be required 🛠</v>
      </c>
      <c r="N33" s="543" t="s">
        <v>155</v>
      </c>
      <c r="O33" s="543">
        <f t="shared" si="1"/>
        <v>0.33</v>
      </c>
      <c r="P33" s="543" t="s">
        <v>155</v>
      </c>
      <c r="Q33" s="543">
        <f t="shared" si="2"/>
        <v>0.33</v>
      </c>
      <c r="R33" s="519"/>
      <c r="S33" s="543"/>
    </row>
    <row r="34" spans="1:19">
      <c r="A34" s="215" t="s">
        <v>527</v>
      </c>
      <c r="B34" s="119" t="s">
        <v>528</v>
      </c>
      <c r="C34" s="543" t="s">
        <v>529</v>
      </c>
      <c r="D34" s="543" t="s">
        <v>406</v>
      </c>
      <c r="E34" s="543"/>
      <c r="F34" s="519" t="s">
        <v>73</v>
      </c>
      <c r="G34" s="543"/>
      <c r="H34" s="519" t="s">
        <v>502</v>
      </c>
      <c r="I34" s="543" t="s">
        <v>529</v>
      </c>
      <c r="J34" s="543" t="s">
        <v>527</v>
      </c>
      <c r="K34" s="543" t="s">
        <v>158</v>
      </c>
      <c r="L34" s="543">
        <f t="shared" si="4"/>
        <v>2</v>
      </c>
      <c r="M34" s="543" t="str">
        <f t="shared" si="3"/>
        <v>Same distinctiveness or better habitat required ≥</v>
      </c>
      <c r="N34" s="543" t="s">
        <v>158</v>
      </c>
      <c r="O34" s="543">
        <f t="shared" ref="O34:O64" si="5">VLOOKUP(N34,Difficulty,2,FALSE)</f>
        <v>1</v>
      </c>
      <c r="P34" s="543" t="s">
        <v>158</v>
      </c>
      <c r="Q34" s="543">
        <f t="shared" ref="Q34:Q64" si="6">VLOOKUP(P34,Difficulty,2,FALSE)</f>
        <v>1</v>
      </c>
      <c r="R34" s="519"/>
      <c r="S34" s="543"/>
    </row>
    <row r="35" spans="1:19">
      <c r="A35" s="215" t="s">
        <v>530</v>
      </c>
      <c r="B35" s="119" t="s">
        <v>531</v>
      </c>
      <c r="C35" s="543" t="s">
        <v>532</v>
      </c>
      <c r="D35" s="543" t="s">
        <v>406</v>
      </c>
      <c r="E35" s="543"/>
      <c r="F35" s="519" t="s">
        <v>73</v>
      </c>
      <c r="G35" s="543"/>
      <c r="H35" s="519" t="s">
        <v>502</v>
      </c>
      <c r="I35" s="543" t="s">
        <v>533</v>
      </c>
      <c r="J35" s="543" t="s">
        <v>534</v>
      </c>
      <c r="K35" s="543" t="s">
        <v>155</v>
      </c>
      <c r="L35" s="543">
        <f t="shared" si="4"/>
        <v>6</v>
      </c>
      <c r="M35" s="543" t="str">
        <f t="shared" si="3"/>
        <v>Same habitat required =</v>
      </c>
      <c r="N35" s="543" t="s">
        <v>25</v>
      </c>
      <c r="O35" s="543">
        <f t="shared" si="5"/>
        <v>0.67</v>
      </c>
      <c r="P35" s="543" t="s">
        <v>158</v>
      </c>
      <c r="Q35" s="543">
        <f t="shared" si="6"/>
        <v>1</v>
      </c>
      <c r="R35" s="519"/>
      <c r="S35" s="543"/>
    </row>
    <row r="36" spans="1:19">
      <c r="A36" s="215" t="s">
        <v>535</v>
      </c>
      <c r="B36" s="119" t="s">
        <v>536</v>
      </c>
      <c r="C36" s="543" t="s">
        <v>537</v>
      </c>
      <c r="D36" s="543" t="s">
        <v>406</v>
      </c>
      <c r="E36" s="543"/>
      <c r="F36" s="519" t="s">
        <v>73</v>
      </c>
      <c r="G36" s="543"/>
      <c r="H36" s="519" t="s">
        <v>502</v>
      </c>
      <c r="I36" s="543" t="s">
        <v>533</v>
      </c>
      <c r="J36" s="543" t="s">
        <v>538</v>
      </c>
      <c r="K36" s="543" t="s">
        <v>158</v>
      </c>
      <c r="L36" s="543">
        <f t="shared" ref="L36" si="7">IF(K36=$V$3,$W$3,IF(K36=$V$3,$W$3,IF(K36=$V$4,$W$4,IF(K36=$V$5,$W$5,IF(K36=$V$6,$W$6,IF(K36=$V$7,$W$7))))))</f>
        <v>2</v>
      </c>
      <c r="M36" s="543" t="str">
        <f t="shared" si="3"/>
        <v>Same distinctiveness or better habitat required ≥</v>
      </c>
      <c r="N36" s="543" t="s">
        <v>158</v>
      </c>
      <c r="O36" s="543">
        <f t="shared" si="5"/>
        <v>1</v>
      </c>
      <c r="P36" s="543" t="s">
        <v>158</v>
      </c>
      <c r="Q36" s="543">
        <f t="shared" si="6"/>
        <v>1</v>
      </c>
      <c r="R36" s="519"/>
      <c r="S36" s="543"/>
    </row>
    <row r="37" spans="1:19" ht="14.45" thickBot="1">
      <c r="A37" s="215" t="s">
        <v>539</v>
      </c>
      <c r="B37" s="217" t="s">
        <v>540</v>
      </c>
      <c r="C37" s="525" t="s">
        <v>541</v>
      </c>
      <c r="D37" s="525" t="s">
        <v>406</v>
      </c>
      <c r="E37" s="525"/>
      <c r="F37" s="507" t="s">
        <v>73</v>
      </c>
      <c r="G37" s="525"/>
      <c r="H37" s="507" t="s">
        <v>519</v>
      </c>
      <c r="I37" s="525" t="s">
        <v>541</v>
      </c>
      <c r="J37" s="574" t="s">
        <v>539</v>
      </c>
      <c r="K37" s="525" t="s">
        <v>155</v>
      </c>
      <c r="L37" s="525">
        <f t="shared" si="4"/>
        <v>6</v>
      </c>
      <c r="M37" s="525" t="str">
        <f t="shared" si="3"/>
        <v>Same habitat required =</v>
      </c>
      <c r="N37" s="525" t="s">
        <v>25</v>
      </c>
      <c r="O37" s="525">
        <f t="shared" si="5"/>
        <v>0.67</v>
      </c>
      <c r="P37" s="525" t="s">
        <v>25</v>
      </c>
      <c r="Q37" s="525">
        <f t="shared" si="6"/>
        <v>0.67</v>
      </c>
      <c r="R37" s="507"/>
      <c r="S37" s="525"/>
    </row>
    <row r="38" spans="1:19">
      <c r="A38" s="215" t="s">
        <v>542</v>
      </c>
      <c r="B38" s="218" t="s">
        <v>543</v>
      </c>
      <c r="C38" s="520" t="s">
        <v>544</v>
      </c>
      <c r="D38" s="520" t="s">
        <v>545</v>
      </c>
      <c r="E38" s="520"/>
      <c r="F38" s="506" t="s">
        <v>74</v>
      </c>
      <c r="G38" s="520"/>
      <c r="H38" s="506" t="s">
        <v>546</v>
      </c>
      <c r="I38" s="520" t="s">
        <v>544</v>
      </c>
      <c r="J38" s="575" t="s">
        <v>542</v>
      </c>
      <c r="K38" s="520" t="s">
        <v>409</v>
      </c>
      <c r="L38" s="520">
        <f t="shared" si="4"/>
        <v>8</v>
      </c>
      <c r="M38" s="520" t="str">
        <f t="shared" si="3"/>
        <v>Bespoke compensation likely to be required 🛠</v>
      </c>
      <c r="N38" s="520" t="s">
        <v>153</v>
      </c>
      <c r="O38" s="520">
        <f t="shared" si="5"/>
        <v>0.1</v>
      </c>
      <c r="P38" s="520" t="s">
        <v>155</v>
      </c>
      <c r="Q38" s="520">
        <f t="shared" si="6"/>
        <v>0.33</v>
      </c>
      <c r="R38" s="506"/>
      <c r="S38" s="520"/>
    </row>
    <row r="39" spans="1:19">
      <c r="A39" s="215" t="s">
        <v>547</v>
      </c>
      <c r="B39" s="119" t="s">
        <v>548</v>
      </c>
      <c r="C39" s="543">
        <v>362</v>
      </c>
      <c r="D39" s="543" t="s">
        <v>406</v>
      </c>
      <c r="E39" s="543"/>
      <c r="F39" s="519" t="s">
        <v>76</v>
      </c>
      <c r="G39" s="543"/>
      <c r="H39" s="519" t="s">
        <v>549</v>
      </c>
      <c r="I39" s="543"/>
      <c r="J39" s="543" t="s">
        <v>547</v>
      </c>
      <c r="K39" s="543" t="s">
        <v>158</v>
      </c>
      <c r="L39" s="543">
        <f>IF(K39=$V$3,$W$3,IF(K39=$V$3,$W$3,IF(K39=$V$4,$W$4,IF(K39=$V$5,$W$5,IF(K39=$V$6,$W$6,IF(K39=$V$7,$W$7))))))</f>
        <v>2</v>
      </c>
      <c r="M39" s="543" t="str">
        <f>IF($K39=$V$3,$X$3,IF($K39=$V$4,$X$4,IF($K39=$V$5,$X$5,IF($K39=$V$6,$X$6,IF($K39=$V$7,$X$7)))))</f>
        <v>Same distinctiveness or better habitat required ≥</v>
      </c>
      <c r="N39" s="543" t="s">
        <v>158</v>
      </c>
      <c r="O39" s="543">
        <f>VLOOKUP(N39,Difficulty,2,FALSE)</f>
        <v>1</v>
      </c>
      <c r="P39" s="543" t="s">
        <v>155</v>
      </c>
      <c r="Q39" s="543">
        <f>VLOOKUP(P39,Difficulty,2,FALSE)</f>
        <v>0.33</v>
      </c>
      <c r="R39" s="519"/>
      <c r="S39" s="543"/>
    </row>
    <row r="40" spans="1:19">
      <c r="A40" s="215" t="s">
        <v>550</v>
      </c>
      <c r="B40" s="119" t="s">
        <v>551</v>
      </c>
      <c r="C40" s="543" t="s">
        <v>552</v>
      </c>
      <c r="D40" s="543" t="s">
        <v>545</v>
      </c>
      <c r="E40" s="543"/>
      <c r="F40" s="519" t="s">
        <v>74</v>
      </c>
      <c r="G40" s="543"/>
      <c r="H40" s="519" t="s">
        <v>546</v>
      </c>
      <c r="I40" s="543"/>
      <c r="J40" s="571"/>
      <c r="K40" s="543" t="s">
        <v>155</v>
      </c>
      <c r="L40" s="543">
        <f t="shared" ref="L40:L45" si="8">IF(K40=$V$3,$W$3,IF(K40=$V$3,$W$3,IF(K40=$V$4,$W$4,IF(K40=$V$5,$W$5,IF(K40=$V$6,$W$6,IF(K40=$V$7,$W$7))))))</f>
        <v>6</v>
      </c>
      <c r="M40" s="543" t="str">
        <f t="shared" si="3"/>
        <v>Same habitat required =</v>
      </c>
      <c r="N40" s="543" t="s">
        <v>155</v>
      </c>
      <c r="O40" s="543">
        <f t="shared" si="5"/>
        <v>0.33</v>
      </c>
      <c r="P40" s="543" t="s">
        <v>155</v>
      </c>
      <c r="Q40" s="543">
        <f t="shared" si="6"/>
        <v>0.33</v>
      </c>
      <c r="R40" s="519"/>
      <c r="S40" s="543"/>
    </row>
    <row r="41" spans="1:19">
      <c r="A41" s="215" t="s">
        <v>553</v>
      </c>
      <c r="B41" s="119" t="s">
        <v>554</v>
      </c>
      <c r="C41" s="543" t="s">
        <v>555</v>
      </c>
      <c r="D41" s="543" t="s">
        <v>545</v>
      </c>
      <c r="E41" s="543"/>
      <c r="F41" s="519" t="s">
        <v>74</v>
      </c>
      <c r="G41" s="543"/>
      <c r="H41" s="519" t="s">
        <v>546</v>
      </c>
      <c r="I41" s="543"/>
      <c r="J41" s="571"/>
      <c r="K41" s="543" t="s">
        <v>155</v>
      </c>
      <c r="L41" s="543">
        <f t="shared" si="8"/>
        <v>6</v>
      </c>
      <c r="M41" s="543" t="str">
        <f t="shared" si="3"/>
        <v>Same habitat required =</v>
      </c>
      <c r="N41" s="543" t="s">
        <v>155</v>
      </c>
      <c r="O41" s="543">
        <f t="shared" si="5"/>
        <v>0.33</v>
      </c>
      <c r="P41" s="543" t="s">
        <v>25</v>
      </c>
      <c r="Q41" s="543">
        <f t="shared" si="6"/>
        <v>0.67</v>
      </c>
      <c r="R41" s="519"/>
      <c r="S41" s="543"/>
    </row>
    <row r="42" spans="1:19">
      <c r="A42" s="215" t="s">
        <v>556</v>
      </c>
      <c r="B42" s="119" t="s">
        <v>557</v>
      </c>
      <c r="C42" s="543" t="s">
        <v>558</v>
      </c>
      <c r="D42" s="543" t="s">
        <v>545</v>
      </c>
      <c r="E42" s="543"/>
      <c r="F42" s="519" t="s">
        <v>74</v>
      </c>
      <c r="G42" s="543"/>
      <c r="H42" s="519" t="s">
        <v>546</v>
      </c>
      <c r="I42" s="543"/>
      <c r="J42" s="571"/>
      <c r="K42" s="543" t="s">
        <v>155</v>
      </c>
      <c r="L42" s="543">
        <f t="shared" si="8"/>
        <v>6</v>
      </c>
      <c r="M42" s="543" t="str">
        <f t="shared" si="3"/>
        <v>Same habitat required =</v>
      </c>
      <c r="N42" s="543" t="s">
        <v>155</v>
      </c>
      <c r="O42" s="543">
        <f t="shared" si="5"/>
        <v>0.33</v>
      </c>
      <c r="P42" s="543" t="s">
        <v>155</v>
      </c>
      <c r="Q42" s="543">
        <f t="shared" si="6"/>
        <v>0.33</v>
      </c>
      <c r="R42" s="519"/>
      <c r="S42" s="543"/>
    </row>
    <row r="43" spans="1:19">
      <c r="A43" s="215" t="s">
        <v>559</v>
      </c>
      <c r="B43" s="119" t="s">
        <v>560</v>
      </c>
      <c r="C43" s="543" t="s">
        <v>561</v>
      </c>
      <c r="D43" s="543" t="s">
        <v>545</v>
      </c>
      <c r="E43" s="543"/>
      <c r="F43" s="519" t="s">
        <v>74</v>
      </c>
      <c r="G43" s="543"/>
      <c r="H43" s="519" t="s">
        <v>546</v>
      </c>
      <c r="I43" s="543"/>
      <c r="J43" s="571"/>
      <c r="K43" s="543" t="s">
        <v>155</v>
      </c>
      <c r="L43" s="543">
        <f t="shared" si="8"/>
        <v>6</v>
      </c>
      <c r="M43" s="543" t="str">
        <f t="shared" si="3"/>
        <v>Same habitat required =</v>
      </c>
      <c r="N43" s="543" t="s">
        <v>155</v>
      </c>
      <c r="O43" s="543">
        <f t="shared" si="5"/>
        <v>0.33</v>
      </c>
      <c r="P43" s="543" t="s">
        <v>155</v>
      </c>
      <c r="Q43" s="543">
        <f t="shared" si="6"/>
        <v>0.33</v>
      </c>
      <c r="R43" s="519"/>
      <c r="S43" s="543"/>
    </row>
    <row r="44" spans="1:19">
      <c r="A44" s="215" t="s">
        <v>562</v>
      </c>
      <c r="B44" s="119" t="s">
        <v>563</v>
      </c>
      <c r="C44" s="543" t="s">
        <v>564</v>
      </c>
      <c r="D44" s="543" t="s">
        <v>545</v>
      </c>
      <c r="E44" s="543"/>
      <c r="F44" s="519" t="s">
        <v>74</v>
      </c>
      <c r="G44" s="543"/>
      <c r="H44" s="519" t="s">
        <v>546</v>
      </c>
      <c r="I44" s="543"/>
      <c r="J44" s="571"/>
      <c r="K44" s="543" t="s">
        <v>155</v>
      </c>
      <c r="L44" s="543">
        <f t="shared" si="8"/>
        <v>6</v>
      </c>
      <c r="M44" s="543" t="str">
        <f t="shared" si="3"/>
        <v>Same habitat required =</v>
      </c>
      <c r="N44" s="543" t="s">
        <v>155</v>
      </c>
      <c r="O44" s="543">
        <f t="shared" si="5"/>
        <v>0.33</v>
      </c>
      <c r="P44" s="543" t="s">
        <v>155</v>
      </c>
      <c r="Q44" s="543">
        <f t="shared" si="6"/>
        <v>0.33</v>
      </c>
      <c r="R44" s="519"/>
      <c r="S44" s="543"/>
    </row>
    <row r="45" spans="1:19">
      <c r="A45" s="215" t="s">
        <v>274</v>
      </c>
      <c r="B45" s="119" t="s">
        <v>565</v>
      </c>
      <c r="C45" s="543" t="s">
        <v>566</v>
      </c>
      <c r="D45" s="543" t="s">
        <v>545</v>
      </c>
      <c r="E45" s="543"/>
      <c r="F45" s="519" t="s">
        <v>74</v>
      </c>
      <c r="G45" s="543"/>
      <c r="H45" s="519" t="s">
        <v>546</v>
      </c>
      <c r="I45" s="543"/>
      <c r="J45" s="571"/>
      <c r="K45" s="543" t="s">
        <v>155</v>
      </c>
      <c r="L45" s="543">
        <f t="shared" si="8"/>
        <v>6</v>
      </c>
      <c r="M45" s="543" t="str">
        <f t="shared" si="3"/>
        <v>Same habitat required =</v>
      </c>
      <c r="N45" s="543" t="s">
        <v>25</v>
      </c>
      <c r="O45" s="543">
        <f t="shared" si="5"/>
        <v>0.67</v>
      </c>
      <c r="P45" s="543" t="s">
        <v>25</v>
      </c>
      <c r="Q45" s="543">
        <f t="shared" si="6"/>
        <v>0.67</v>
      </c>
      <c r="R45" s="519"/>
      <c r="S45" s="543"/>
    </row>
    <row r="46" spans="1:19">
      <c r="A46" s="215" t="s">
        <v>567</v>
      </c>
      <c r="B46" s="119" t="s">
        <v>568</v>
      </c>
      <c r="C46" s="543" t="s">
        <v>569</v>
      </c>
      <c r="D46" s="543" t="s">
        <v>545</v>
      </c>
      <c r="E46" s="543"/>
      <c r="F46" s="519" t="s">
        <v>74</v>
      </c>
      <c r="G46" s="543"/>
      <c r="H46" s="519" t="s">
        <v>546</v>
      </c>
      <c r="I46" s="543" t="s">
        <v>570</v>
      </c>
      <c r="J46" s="571"/>
      <c r="K46" s="543" t="s">
        <v>25</v>
      </c>
      <c r="L46" s="543">
        <f t="shared" si="4"/>
        <v>4</v>
      </c>
      <c r="M46" s="543" t="str">
        <f t="shared" si="3"/>
        <v>Same broad habitat or a higher distinctiveness habitat required (≥)</v>
      </c>
      <c r="N46" s="543" t="s">
        <v>158</v>
      </c>
      <c r="O46" s="543">
        <f t="shared" si="5"/>
        <v>1</v>
      </c>
      <c r="P46" s="543" t="s">
        <v>25</v>
      </c>
      <c r="Q46" s="543">
        <f t="shared" si="6"/>
        <v>0.67</v>
      </c>
      <c r="R46" s="519"/>
      <c r="S46" s="543"/>
    </row>
    <row r="47" spans="1:19">
      <c r="A47" s="215" t="s">
        <v>571</v>
      </c>
      <c r="B47" s="119" t="s">
        <v>572</v>
      </c>
      <c r="C47" s="543">
        <v>108</v>
      </c>
      <c r="D47" s="543" t="s">
        <v>545</v>
      </c>
      <c r="E47" s="543"/>
      <c r="F47" s="519" t="s">
        <v>74</v>
      </c>
      <c r="G47" s="543"/>
      <c r="H47" s="519" t="s">
        <v>546</v>
      </c>
      <c r="I47" s="543"/>
      <c r="J47" s="543"/>
      <c r="K47" s="543" t="s">
        <v>25</v>
      </c>
      <c r="L47" s="543">
        <f t="shared" si="4"/>
        <v>4</v>
      </c>
      <c r="M47" s="543" t="str">
        <f t="shared" si="3"/>
        <v>Same broad habitat or a higher distinctiveness habitat required (≥)</v>
      </c>
      <c r="N47" s="543" t="s">
        <v>25</v>
      </c>
      <c r="O47" s="543">
        <f t="shared" si="5"/>
        <v>0.67</v>
      </c>
      <c r="P47" s="543" t="s">
        <v>25</v>
      </c>
      <c r="Q47" s="543">
        <f t="shared" si="6"/>
        <v>0.67</v>
      </c>
      <c r="R47" s="519"/>
      <c r="S47" s="543"/>
    </row>
    <row r="48" spans="1:19" ht="14.45" thickBot="1">
      <c r="A48" s="215" t="s">
        <v>573</v>
      </c>
      <c r="B48" s="217" t="s">
        <v>574</v>
      </c>
      <c r="C48" s="543" t="s">
        <v>575</v>
      </c>
      <c r="D48" s="525" t="s">
        <v>545</v>
      </c>
      <c r="E48" s="525"/>
      <c r="F48" s="507" t="s">
        <v>74</v>
      </c>
      <c r="G48" s="525"/>
      <c r="H48" s="507" t="s">
        <v>546</v>
      </c>
      <c r="I48" s="525" t="s">
        <v>576</v>
      </c>
      <c r="J48" s="574"/>
      <c r="K48" s="525" t="s">
        <v>155</v>
      </c>
      <c r="L48" s="525">
        <f t="shared" si="4"/>
        <v>6</v>
      </c>
      <c r="M48" s="525" t="str">
        <f t="shared" si="3"/>
        <v>Same habitat required =</v>
      </c>
      <c r="N48" s="525" t="s">
        <v>25</v>
      </c>
      <c r="O48" s="525">
        <f t="shared" si="5"/>
        <v>0.67</v>
      </c>
      <c r="P48" s="525" t="s">
        <v>25</v>
      </c>
      <c r="Q48" s="525">
        <f t="shared" si="6"/>
        <v>0.67</v>
      </c>
      <c r="R48" s="507"/>
      <c r="S48" s="525"/>
    </row>
    <row r="49" spans="1:19">
      <c r="A49" s="215" t="s">
        <v>577</v>
      </c>
      <c r="B49" s="218" t="s">
        <v>578</v>
      </c>
      <c r="C49" s="520" t="s">
        <v>579</v>
      </c>
      <c r="D49" s="520" t="s">
        <v>545</v>
      </c>
      <c r="E49" s="520"/>
      <c r="F49" s="506" t="s">
        <v>75</v>
      </c>
      <c r="G49" s="520"/>
      <c r="H49" s="506" t="s">
        <v>580</v>
      </c>
      <c r="I49" s="520"/>
      <c r="J49" s="575" t="s">
        <v>577</v>
      </c>
      <c r="K49" s="520" t="s">
        <v>409</v>
      </c>
      <c r="L49" s="520">
        <f t="shared" ref="L49:L76" si="9">IF(K49=$V$3,$W$3,IF(K49=$V$3,$W$3,IF(K49=$V$4,$W$4,IF(K49=$V$5,$W$5,IF(K49=$V$6,$W$6,IF(K49=$V$7,$W$7))))))</f>
        <v>8</v>
      </c>
      <c r="M49" s="520" t="str">
        <f t="shared" si="3"/>
        <v>Bespoke compensation likely to be required 🛠</v>
      </c>
      <c r="N49" s="520" t="s">
        <v>153</v>
      </c>
      <c r="O49" s="520">
        <f t="shared" si="5"/>
        <v>0.1</v>
      </c>
      <c r="P49" s="520" t="s">
        <v>25</v>
      </c>
      <c r="Q49" s="520">
        <f t="shared" si="6"/>
        <v>0.67</v>
      </c>
      <c r="R49" s="506"/>
      <c r="S49" s="520"/>
    </row>
    <row r="50" spans="1:19">
      <c r="A50" s="215" t="s">
        <v>581</v>
      </c>
      <c r="B50" s="119" t="s">
        <v>582</v>
      </c>
      <c r="C50" s="543" t="s">
        <v>583</v>
      </c>
      <c r="D50" s="543" t="s">
        <v>545</v>
      </c>
      <c r="E50" s="543"/>
      <c r="F50" s="519" t="s">
        <v>75</v>
      </c>
      <c r="G50" s="543"/>
      <c r="H50" s="519" t="s">
        <v>584</v>
      </c>
      <c r="I50" s="543"/>
      <c r="J50" s="543"/>
      <c r="K50" s="543" t="s">
        <v>155</v>
      </c>
      <c r="L50" s="543">
        <f t="shared" si="9"/>
        <v>6</v>
      </c>
      <c r="M50" s="543" t="str">
        <f t="shared" si="3"/>
        <v>Same habitat required =</v>
      </c>
      <c r="N50" s="543" t="s">
        <v>153</v>
      </c>
      <c r="O50" s="543">
        <f t="shared" si="5"/>
        <v>0.1</v>
      </c>
      <c r="P50" s="543" t="s">
        <v>25</v>
      </c>
      <c r="Q50" s="543">
        <f t="shared" si="6"/>
        <v>0.67</v>
      </c>
      <c r="R50" s="519"/>
      <c r="S50" s="543"/>
    </row>
    <row r="51" spans="1:19">
      <c r="A51" s="215" t="s">
        <v>585</v>
      </c>
      <c r="B51" s="119" t="s">
        <v>586</v>
      </c>
      <c r="C51" s="543" t="s">
        <v>587</v>
      </c>
      <c r="D51" s="543" t="s">
        <v>406</v>
      </c>
      <c r="E51" s="543"/>
      <c r="F51" s="519" t="s">
        <v>75</v>
      </c>
      <c r="G51" s="543"/>
      <c r="H51" s="519" t="s">
        <v>584</v>
      </c>
      <c r="I51" s="543" t="s">
        <v>579</v>
      </c>
      <c r="J51" s="571"/>
      <c r="K51" s="543" t="s">
        <v>155</v>
      </c>
      <c r="L51" s="543">
        <f t="shared" si="9"/>
        <v>6</v>
      </c>
      <c r="M51" s="543" t="str">
        <f t="shared" si="3"/>
        <v>Same habitat required =</v>
      </c>
      <c r="N51" s="543" t="s">
        <v>153</v>
      </c>
      <c r="O51" s="543">
        <f t="shared" si="5"/>
        <v>0.1</v>
      </c>
      <c r="P51" s="543" t="s">
        <v>25</v>
      </c>
      <c r="Q51" s="543">
        <f t="shared" si="6"/>
        <v>0.67</v>
      </c>
      <c r="R51" s="519"/>
      <c r="S51" s="543"/>
    </row>
    <row r="52" spans="1:19">
      <c r="A52" s="215" t="s">
        <v>241</v>
      </c>
      <c r="B52" s="119" t="s">
        <v>588</v>
      </c>
      <c r="C52" s="543">
        <v>17</v>
      </c>
      <c r="D52" s="543" t="s">
        <v>406</v>
      </c>
      <c r="E52" s="543"/>
      <c r="F52" s="519" t="s">
        <v>75</v>
      </c>
      <c r="G52" s="543"/>
      <c r="H52" s="519"/>
      <c r="I52" s="543"/>
      <c r="J52" s="543" t="s">
        <v>589</v>
      </c>
      <c r="K52" s="543" t="s">
        <v>158</v>
      </c>
      <c r="L52" s="543">
        <f t="shared" si="9"/>
        <v>2</v>
      </c>
      <c r="M52" s="543" t="str">
        <f t="shared" si="3"/>
        <v>Same distinctiveness or better habitat required ≥</v>
      </c>
      <c r="N52" s="543" t="s">
        <v>158</v>
      </c>
      <c r="O52" s="543">
        <f t="shared" si="5"/>
        <v>1</v>
      </c>
      <c r="P52" s="543" t="s">
        <v>25</v>
      </c>
      <c r="Q52" s="543">
        <f t="shared" si="6"/>
        <v>0.67</v>
      </c>
      <c r="R52" s="519" t="s">
        <v>590</v>
      </c>
      <c r="S52" s="543"/>
    </row>
    <row r="53" spans="1:19">
      <c r="A53" s="215" t="s">
        <v>591</v>
      </c>
      <c r="B53" s="119" t="s">
        <v>592</v>
      </c>
      <c r="C53" s="543" t="s">
        <v>593</v>
      </c>
      <c r="D53" s="543" t="s">
        <v>406</v>
      </c>
      <c r="E53" s="543" t="s">
        <v>594</v>
      </c>
      <c r="F53" s="519" t="s">
        <v>75</v>
      </c>
      <c r="G53" s="543" t="s">
        <v>595</v>
      </c>
      <c r="H53" s="519" t="s">
        <v>580</v>
      </c>
      <c r="I53" s="543" t="s">
        <v>593</v>
      </c>
      <c r="J53" s="571" t="s">
        <v>591</v>
      </c>
      <c r="K53" s="543" t="s">
        <v>155</v>
      </c>
      <c r="L53" s="543">
        <f t="shared" si="9"/>
        <v>6</v>
      </c>
      <c r="M53" s="543" t="str">
        <f t="shared" si="3"/>
        <v>Same habitat required =</v>
      </c>
      <c r="N53" s="543" t="s">
        <v>155</v>
      </c>
      <c r="O53" s="543">
        <f t="shared" si="5"/>
        <v>0.33</v>
      </c>
      <c r="P53" s="543" t="s">
        <v>158</v>
      </c>
      <c r="Q53" s="543">
        <f t="shared" si="6"/>
        <v>1</v>
      </c>
      <c r="R53" s="519"/>
      <c r="S53" s="543"/>
    </row>
    <row r="54" spans="1:19">
      <c r="A54" s="215" t="s">
        <v>596</v>
      </c>
      <c r="B54" s="119" t="s">
        <v>597</v>
      </c>
      <c r="C54" s="543" t="s">
        <v>598</v>
      </c>
      <c r="D54" s="543" t="s">
        <v>406</v>
      </c>
      <c r="E54" s="543"/>
      <c r="F54" s="519" t="s">
        <v>75</v>
      </c>
      <c r="G54" s="543"/>
      <c r="H54" s="519" t="s">
        <v>580</v>
      </c>
      <c r="I54" s="543" t="s">
        <v>598</v>
      </c>
      <c r="J54" s="571" t="s">
        <v>596</v>
      </c>
      <c r="K54" s="543" t="s">
        <v>409</v>
      </c>
      <c r="L54" s="543">
        <f t="shared" si="9"/>
        <v>8</v>
      </c>
      <c r="M54" s="543" t="str">
        <f t="shared" si="3"/>
        <v>Bespoke compensation likely to be required 🛠</v>
      </c>
      <c r="N54" s="543" t="s">
        <v>153</v>
      </c>
      <c r="O54" s="543">
        <f t="shared" si="5"/>
        <v>0.1</v>
      </c>
      <c r="P54" s="543" t="s">
        <v>25</v>
      </c>
      <c r="Q54" s="543">
        <f t="shared" si="6"/>
        <v>0.67</v>
      </c>
      <c r="R54" s="519"/>
      <c r="S54" s="543"/>
    </row>
    <row r="55" spans="1:19">
      <c r="A55" s="215" t="s">
        <v>599</v>
      </c>
      <c r="B55" s="119" t="s">
        <v>600</v>
      </c>
      <c r="C55" s="543" t="s">
        <v>601</v>
      </c>
      <c r="D55" s="543" t="s">
        <v>406</v>
      </c>
      <c r="E55" s="543"/>
      <c r="F55" s="519" t="s">
        <v>75</v>
      </c>
      <c r="G55" s="543" t="s">
        <v>602</v>
      </c>
      <c r="H55" s="519" t="s">
        <v>603</v>
      </c>
      <c r="I55" s="543" t="s">
        <v>601</v>
      </c>
      <c r="J55" s="571" t="s">
        <v>599</v>
      </c>
      <c r="K55" s="543" t="s">
        <v>155</v>
      </c>
      <c r="L55" s="543">
        <f t="shared" si="9"/>
        <v>6</v>
      </c>
      <c r="M55" s="543" t="str">
        <f t="shared" si="3"/>
        <v>Same habitat required =</v>
      </c>
      <c r="N55" s="543" t="s">
        <v>155</v>
      </c>
      <c r="O55" s="543">
        <f t="shared" si="5"/>
        <v>0.33</v>
      </c>
      <c r="P55" s="543" t="s">
        <v>25</v>
      </c>
      <c r="Q55" s="543">
        <f t="shared" si="6"/>
        <v>0.67</v>
      </c>
      <c r="R55" s="519"/>
      <c r="S55" s="543"/>
    </row>
    <row r="56" spans="1:19" ht="14.45" thickBot="1">
      <c r="A56" s="215" t="s">
        <v>604</v>
      </c>
      <c r="B56" s="217" t="s">
        <v>605</v>
      </c>
      <c r="C56" s="525" t="s">
        <v>606</v>
      </c>
      <c r="D56" s="525" t="s">
        <v>406</v>
      </c>
      <c r="E56" s="525"/>
      <c r="F56" s="507" t="s">
        <v>75</v>
      </c>
      <c r="G56" s="525"/>
      <c r="H56" s="507" t="s">
        <v>580</v>
      </c>
      <c r="I56" s="525" t="s">
        <v>606</v>
      </c>
      <c r="J56" s="525" t="s">
        <v>604</v>
      </c>
      <c r="K56" s="525" t="s">
        <v>25</v>
      </c>
      <c r="L56" s="525">
        <f t="shared" si="9"/>
        <v>4</v>
      </c>
      <c r="M56" s="525" t="str">
        <f t="shared" si="3"/>
        <v>Same broad habitat or a higher distinctiveness habitat required (≥)</v>
      </c>
      <c r="N56" s="525" t="s">
        <v>25</v>
      </c>
      <c r="O56" s="525">
        <f t="shared" si="5"/>
        <v>0.67</v>
      </c>
      <c r="P56" s="525" t="s">
        <v>25</v>
      </c>
      <c r="Q56" s="525">
        <f t="shared" si="6"/>
        <v>0.67</v>
      </c>
      <c r="R56" s="507"/>
      <c r="S56" s="525"/>
    </row>
    <row r="57" spans="1:19">
      <c r="A57" s="215" t="s">
        <v>607</v>
      </c>
      <c r="B57" s="218" t="s">
        <v>608</v>
      </c>
      <c r="C57" s="520">
        <v>910</v>
      </c>
      <c r="D57" s="520" t="s">
        <v>406</v>
      </c>
      <c r="E57" s="520"/>
      <c r="F57" s="506" t="s">
        <v>76</v>
      </c>
      <c r="G57" s="520"/>
      <c r="H57" s="506" t="s">
        <v>549</v>
      </c>
      <c r="I57" s="520"/>
      <c r="J57" s="520" t="s">
        <v>607</v>
      </c>
      <c r="K57" s="520" t="s">
        <v>158</v>
      </c>
      <c r="L57" s="520">
        <f t="shared" si="9"/>
        <v>2</v>
      </c>
      <c r="M57" s="520" t="str">
        <f t="shared" si="3"/>
        <v>Same distinctiveness or better habitat required ≥</v>
      </c>
      <c r="N57" s="520" t="s">
        <v>158</v>
      </c>
      <c r="O57" s="520">
        <f t="shared" si="5"/>
        <v>1</v>
      </c>
      <c r="P57" s="520" t="s">
        <v>158</v>
      </c>
      <c r="Q57" s="520">
        <f t="shared" si="6"/>
        <v>1</v>
      </c>
      <c r="R57" s="506"/>
      <c r="S57" s="520"/>
    </row>
    <row r="58" spans="1:19">
      <c r="A58" s="215" t="s">
        <v>609</v>
      </c>
      <c r="B58" s="119" t="s">
        <v>610</v>
      </c>
      <c r="C58" s="543" t="s">
        <v>611</v>
      </c>
      <c r="D58" s="543" t="s">
        <v>406</v>
      </c>
      <c r="E58" s="543"/>
      <c r="F58" s="519" t="s">
        <v>76</v>
      </c>
      <c r="G58" s="543"/>
      <c r="H58" s="519" t="s">
        <v>549</v>
      </c>
      <c r="I58" s="543" t="s">
        <v>611</v>
      </c>
      <c r="J58" s="543" t="s">
        <v>609</v>
      </c>
      <c r="K58" s="543" t="s">
        <v>429</v>
      </c>
      <c r="L58" s="543">
        <f t="shared" si="9"/>
        <v>0</v>
      </c>
      <c r="M58" s="543" t="str">
        <f t="shared" si="3"/>
        <v>Compensation Not Required</v>
      </c>
      <c r="N58" s="543" t="s">
        <v>158</v>
      </c>
      <c r="O58" s="543">
        <f t="shared" si="5"/>
        <v>1</v>
      </c>
      <c r="P58" s="543" t="s">
        <v>158</v>
      </c>
      <c r="Q58" s="543">
        <f t="shared" si="6"/>
        <v>1</v>
      </c>
      <c r="R58" s="519"/>
      <c r="S58" s="543"/>
    </row>
    <row r="59" spans="1:19">
      <c r="A59" s="215" t="s">
        <v>612</v>
      </c>
      <c r="B59" s="119" t="s">
        <v>613</v>
      </c>
      <c r="C59" s="543">
        <v>1191</v>
      </c>
      <c r="D59" s="543" t="s">
        <v>406</v>
      </c>
      <c r="E59" s="543"/>
      <c r="F59" s="519" t="s">
        <v>76</v>
      </c>
      <c r="G59" s="543"/>
      <c r="H59" s="519" t="s">
        <v>549</v>
      </c>
      <c r="I59" s="543"/>
      <c r="J59" s="543" t="s">
        <v>612</v>
      </c>
      <c r="K59" s="543" t="s">
        <v>158</v>
      </c>
      <c r="L59" s="543">
        <f t="shared" si="9"/>
        <v>2</v>
      </c>
      <c r="M59" s="543" t="str">
        <f t="shared" si="3"/>
        <v>Same distinctiveness or better habitat required ≥</v>
      </c>
      <c r="N59" s="543" t="s">
        <v>25</v>
      </c>
      <c r="O59" s="543">
        <f t="shared" si="5"/>
        <v>0.67</v>
      </c>
      <c r="P59" s="543" t="s">
        <v>158</v>
      </c>
      <c r="Q59" s="543">
        <f t="shared" si="6"/>
        <v>1</v>
      </c>
      <c r="R59" s="519"/>
      <c r="S59" s="543"/>
    </row>
    <row r="60" spans="1:19">
      <c r="A60" s="215" t="s">
        <v>614</v>
      </c>
      <c r="B60" s="119" t="s">
        <v>615</v>
      </c>
      <c r="C60" s="543" t="s">
        <v>616</v>
      </c>
      <c r="D60" s="543" t="s">
        <v>406</v>
      </c>
      <c r="E60" s="543"/>
      <c r="F60" s="519" t="s">
        <v>76</v>
      </c>
      <c r="G60" s="543"/>
      <c r="H60" s="519" t="s">
        <v>549</v>
      </c>
      <c r="I60" s="543"/>
      <c r="J60" s="543"/>
      <c r="K60" s="543" t="s">
        <v>158</v>
      </c>
      <c r="L60" s="543">
        <f t="shared" si="9"/>
        <v>2</v>
      </c>
      <c r="M60" s="543" t="str">
        <f t="shared" si="3"/>
        <v>Same distinctiveness or better habitat required ≥</v>
      </c>
      <c r="N60" s="543" t="s">
        <v>158</v>
      </c>
      <c r="O60" s="543">
        <f t="shared" si="5"/>
        <v>1</v>
      </c>
      <c r="P60" s="543" t="s">
        <v>158</v>
      </c>
      <c r="Q60" s="543">
        <f t="shared" si="6"/>
        <v>1</v>
      </c>
      <c r="R60" s="519"/>
      <c r="S60" s="543"/>
    </row>
    <row r="61" spans="1:19">
      <c r="A61" s="215" t="s">
        <v>617</v>
      </c>
      <c r="B61" s="119" t="s">
        <v>618</v>
      </c>
      <c r="C61" s="543" t="s">
        <v>619</v>
      </c>
      <c r="D61" s="543" t="s">
        <v>406</v>
      </c>
      <c r="E61" s="543"/>
      <c r="F61" s="519" t="s">
        <v>76</v>
      </c>
      <c r="G61" s="543"/>
      <c r="H61" s="519" t="s">
        <v>549</v>
      </c>
      <c r="I61" s="543" t="s">
        <v>619</v>
      </c>
      <c r="J61" s="543" t="s">
        <v>617</v>
      </c>
      <c r="K61" s="543" t="s">
        <v>429</v>
      </c>
      <c r="L61" s="543">
        <f t="shared" si="9"/>
        <v>0</v>
      </c>
      <c r="M61" s="543" t="str">
        <f t="shared" si="3"/>
        <v>Compensation Not Required</v>
      </c>
      <c r="N61" s="543" t="s">
        <v>158</v>
      </c>
      <c r="O61" s="543">
        <f t="shared" si="5"/>
        <v>1</v>
      </c>
      <c r="P61" s="543" t="s">
        <v>158</v>
      </c>
      <c r="Q61" s="543">
        <f t="shared" si="6"/>
        <v>1</v>
      </c>
      <c r="R61" s="519"/>
      <c r="S61" s="543"/>
    </row>
    <row r="62" spans="1:19">
      <c r="A62" s="215" t="s">
        <v>620</v>
      </c>
      <c r="B62" s="119" t="s">
        <v>621</v>
      </c>
      <c r="C62" s="543">
        <v>800</v>
      </c>
      <c r="D62" s="543" t="s">
        <v>406</v>
      </c>
      <c r="E62" s="543"/>
      <c r="F62" s="519" t="s">
        <v>76</v>
      </c>
      <c r="G62" s="543"/>
      <c r="H62" s="519" t="s">
        <v>549</v>
      </c>
      <c r="I62" s="543"/>
      <c r="J62" s="543" t="s">
        <v>620</v>
      </c>
      <c r="K62" s="543" t="s">
        <v>25</v>
      </c>
      <c r="L62" s="543">
        <f t="shared" si="9"/>
        <v>4</v>
      </c>
      <c r="M62" s="543" t="str">
        <f t="shared" si="3"/>
        <v>Same broad habitat or a higher distinctiveness habitat required (≥)</v>
      </c>
      <c r="N62" s="543" t="s">
        <v>25</v>
      </c>
      <c r="O62" s="543">
        <f t="shared" si="5"/>
        <v>0.67</v>
      </c>
      <c r="P62" s="543" t="s">
        <v>158</v>
      </c>
      <c r="Q62" s="543">
        <f t="shared" si="6"/>
        <v>1</v>
      </c>
      <c r="R62" s="519"/>
      <c r="S62" s="543"/>
    </row>
    <row r="63" spans="1:19">
      <c r="A63" s="215" t="s">
        <v>247</v>
      </c>
      <c r="B63" s="119" t="s">
        <v>622</v>
      </c>
      <c r="C63" s="543" t="s">
        <v>623</v>
      </c>
      <c r="D63" s="543" t="s">
        <v>406</v>
      </c>
      <c r="E63" s="543"/>
      <c r="F63" s="519" t="s">
        <v>76</v>
      </c>
      <c r="G63" s="543"/>
      <c r="H63" s="519" t="s">
        <v>549</v>
      </c>
      <c r="I63" s="543" t="s">
        <v>623</v>
      </c>
      <c r="J63" s="543" t="s">
        <v>247</v>
      </c>
      <c r="K63" s="543" t="s">
        <v>429</v>
      </c>
      <c r="L63" s="543">
        <f t="shared" si="9"/>
        <v>0</v>
      </c>
      <c r="M63" s="543" t="str">
        <f t="shared" si="3"/>
        <v>Compensation Not Required</v>
      </c>
      <c r="N63" s="543" t="s">
        <v>158</v>
      </c>
      <c r="O63" s="543">
        <f t="shared" si="5"/>
        <v>1</v>
      </c>
      <c r="P63" s="543" t="s">
        <v>25</v>
      </c>
      <c r="Q63" s="543">
        <f t="shared" si="6"/>
        <v>0.67</v>
      </c>
      <c r="R63" s="519"/>
      <c r="S63" s="543"/>
    </row>
    <row r="64" spans="1:19">
      <c r="A64" s="215" t="s">
        <v>624</v>
      </c>
      <c r="B64" s="119" t="s">
        <v>625</v>
      </c>
      <c r="C64" s="543" t="s">
        <v>626</v>
      </c>
      <c r="D64" s="543" t="s">
        <v>406</v>
      </c>
      <c r="E64" s="543"/>
      <c r="F64" s="519" t="s">
        <v>76</v>
      </c>
      <c r="G64" s="543"/>
      <c r="H64" s="519" t="s">
        <v>549</v>
      </c>
      <c r="I64" s="543"/>
      <c r="J64" s="543"/>
      <c r="K64" s="543" t="s">
        <v>158</v>
      </c>
      <c r="L64" s="543">
        <f t="shared" si="9"/>
        <v>2</v>
      </c>
      <c r="M64" s="543" t="str">
        <f t="shared" si="3"/>
        <v>Same distinctiveness or better habitat required ≥</v>
      </c>
      <c r="N64" s="543" t="s">
        <v>158</v>
      </c>
      <c r="O64" s="543">
        <f t="shared" si="5"/>
        <v>1</v>
      </c>
      <c r="P64" s="543" t="s">
        <v>158</v>
      </c>
      <c r="Q64" s="543">
        <f t="shared" si="6"/>
        <v>1</v>
      </c>
      <c r="R64" s="519"/>
      <c r="S64" s="543"/>
    </row>
    <row r="65" spans="1:19">
      <c r="A65" s="215" t="s">
        <v>627</v>
      </c>
      <c r="B65" s="119" t="s">
        <v>628</v>
      </c>
      <c r="C65" s="543">
        <v>1122</v>
      </c>
      <c r="D65" s="543" t="s">
        <v>406</v>
      </c>
      <c r="E65" s="543"/>
      <c r="F65" s="519" t="s">
        <v>76</v>
      </c>
      <c r="G65" s="543"/>
      <c r="H65" s="519" t="s">
        <v>549</v>
      </c>
      <c r="I65" s="543"/>
      <c r="J65" s="543" t="s">
        <v>629</v>
      </c>
      <c r="K65" s="543" t="s">
        <v>158</v>
      </c>
      <c r="L65" s="543">
        <f t="shared" si="9"/>
        <v>2</v>
      </c>
      <c r="M65" s="543" t="str">
        <f t="shared" si="3"/>
        <v>Same distinctiveness or better habitat required ≥</v>
      </c>
      <c r="N65" s="543" t="s">
        <v>25</v>
      </c>
      <c r="O65" s="543">
        <f t="shared" ref="O65:O92" si="10">VLOOKUP(N65,Difficulty,2,FALSE)</f>
        <v>0.67</v>
      </c>
      <c r="P65" s="543" t="s">
        <v>25</v>
      </c>
      <c r="Q65" s="543">
        <f t="shared" ref="Q65:Q92" si="11">VLOOKUP(P65,Difficulty,2,FALSE)</f>
        <v>0.67</v>
      </c>
      <c r="R65" s="519"/>
      <c r="S65" s="543"/>
    </row>
    <row r="66" spans="1:19">
      <c r="A66" s="215" t="s">
        <v>630</v>
      </c>
      <c r="B66" s="119" t="s">
        <v>631</v>
      </c>
      <c r="C66" s="543">
        <v>1121</v>
      </c>
      <c r="D66" s="543" t="s">
        <v>406</v>
      </c>
      <c r="E66" s="543"/>
      <c r="F66" s="519" t="s">
        <v>76</v>
      </c>
      <c r="G66" s="543"/>
      <c r="H66" s="519" t="s">
        <v>549</v>
      </c>
      <c r="I66" s="543"/>
      <c r="J66" s="543" t="s">
        <v>630</v>
      </c>
      <c r="K66" s="543" t="s">
        <v>158</v>
      </c>
      <c r="L66" s="543">
        <f t="shared" si="9"/>
        <v>2</v>
      </c>
      <c r="M66" s="543" t="str">
        <f t="shared" si="3"/>
        <v>Same distinctiveness or better habitat required ≥</v>
      </c>
      <c r="N66" s="543" t="s">
        <v>25</v>
      </c>
      <c r="O66" s="543">
        <f t="shared" si="10"/>
        <v>0.67</v>
      </c>
      <c r="P66" s="543" t="s">
        <v>25</v>
      </c>
      <c r="Q66" s="543">
        <f t="shared" si="11"/>
        <v>0.67</v>
      </c>
      <c r="R66" s="519"/>
      <c r="S66" s="543"/>
    </row>
    <row r="67" spans="1:19">
      <c r="A67" s="215" t="s">
        <v>632</v>
      </c>
      <c r="B67" s="119" t="s">
        <v>633</v>
      </c>
      <c r="C67" s="543">
        <v>1140</v>
      </c>
      <c r="D67" s="543" t="s">
        <v>406</v>
      </c>
      <c r="E67" s="543"/>
      <c r="F67" s="519" t="s">
        <v>76</v>
      </c>
      <c r="G67" s="543"/>
      <c r="H67" s="519" t="s">
        <v>549</v>
      </c>
      <c r="I67" s="543"/>
      <c r="J67" s="543" t="s">
        <v>632</v>
      </c>
      <c r="K67" s="543" t="s">
        <v>158</v>
      </c>
      <c r="L67" s="543">
        <f t="shared" si="9"/>
        <v>2</v>
      </c>
      <c r="M67" s="543" t="str">
        <f t="shared" si="3"/>
        <v>Same distinctiveness or better habitat required ≥</v>
      </c>
      <c r="N67" s="543" t="s">
        <v>158</v>
      </c>
      <c r="O67" s="543">
        <f t="shared" si="10"/>
        <v>1</v>
      </c>
      <c r="P67" s="543" t="s">
        <v>158</v>
      </c>
      <c r="Q67" s="543">
        <f t="shared" si="11"/>
        <v>1</v>
      </c>
      <c r="R67" s="519"/>
      <c r="S67" s="543"/>
    </row>
    <row r="68" spans="1:19">
      <c r="A68" s="215" t="s">
        <v>634</v>
      </c>
      <c r="B68" s="119" t="s">
        <v>635</v>
      </c>
      <c r="C68" s="543" t="s">
        <v>636</v>
      </c>
      <c r="D68" s="543" t="s">
        <v>406</v>
      </c>
      <c r="E68" s="543"/>
      <c r="F68" s="519" t="s">
        <v>76</v>
      </c>
      <c r="G68" s="543"/>
      <c r="H68" s="519" t="s">
        <v>549</v>
      </c>
      <c r="I68" s="543"/>
      <c r="J68" s="543" t="s">
        <v>614</v>
      </c>
      <c r="K68" s="543" t="s">
        <v>25</v>
      </c>
      <c r="L68" s="543">
        <f t="shared" si="9"/>
        <v>4</v>
      </c>
      <c r="M68" s="543" t="str">
        <f t="shared" si="3"/>
        <v>Same broad habitat or a higher distinctiveness habitat required (≥)</v>
      </c>
      <c r="N68" s="543" t="s">
        <v>25</v>
      </c>
      <c r="O68" s="543">
        <f t="shared" si="10"/>
        <v>0.67</v>
      </c>
      <c r="P68" s="543" t="s">
        <v>25</v>
      </c>
      <c r="Q68" s="543">
        <f t="shared" si="11"/>
        <v>0.67</v>
      </c>
      <c r="R68" s="519"/>
      <c r="S68" s="543"/>
    </row>
    <row r="69" spans="1:19">
      <c r="A69" s="215" t="s">
        <v>637</v>
      </c>
      <c r="B69" s="119" t="s">
        <v>638</v>
      </c>
      <c r="C69" s="543">
        <v>1160</v>
      </c>
      <c r="D69" s="543" t="s">
        <v>406</v>
      </c>
      <c r="E69" s="543"/>
      <c r="F69" s="519" t="s">
        <v>76</v>
      </c>
      <c r="G69" s="543"/>
      <c r="H69" s="519" t="s">
        <v>549</v>
      </c>
      <c r="I69" s="543"/>
      <c r="J69" s="543" t="s">
        <v>637</v>
      </c>
      <c r="K69" s="543" t="s">
        <v>158</v>
      </c>
      <c r="L69" s="543">
        <f t="shared" si="9"/>
        <v>2</v>
      </c>
      <c r="M69" s="543" t="str">
        <f t="shared" si="3"/>
        <v>Same distinctiveness or better habitat required ≥</v>
      </c>
      <c r="N69" s="543" t="s">
        <v>158</v>
      </c>
      <c r="O69" s="543">
        <f t="shared" si="10"/>
        <v>1</v>
      </c>
      <c r="P69" s="543" t="s">
        <v>158</v>
      </c>
      <c r="Q69" s="543">
        <f t="shared" si="11"/>
        <v>1</v>
      </c>
      <c r="R69" s="519"/>
      <c r="S69" s="543"/>
    </row>
    <row r="70" spans="1:19">
      <c r="A70" s="215" t="s">
        <v>639</v>
      </c>
      <c r="B70" s="119" t="s">
        <v>640</v>
      </c>
      <c r="C70" s="543" t="s">
        <v>641</v>
      </c>
      <c r="D70" s="543" t="s">
        <v>406</v>
      </c>
      <c r="E70" s="543" t="s">
        <v>642</v>
      </c>
      <c r="F70" s="519" t="s">
        <v>76</v>
      </c>
      <c r="G70" s="543" t="s">
        <v>643</v>
      </c>
      <c r="H70" s="519" t="s">
        <v>549</v>
      </c>
      <c r="I70" s="543" t="s">
        <v>641</v>
      </c>
      <c r="J70" s="571" t="s">
        <v>639</v>
      </c>
      <c r="K70" s="543" t="s">
        <v>155</v>
      </c>
      <c r="L70" s="543">
        <f t="shared" si="9"/>
        <v>6</v>
      </c>
      <c r="M70" s="543" t="str">
        <f t="shared" si="3"/>
        <v>Same habitat required =</v>
      </c>
      <c r="N70" s="543" t="s">
        <v>25</v>
      </c>
      <c r="O70" s="543">
        <f t="shared" si="10"/>
        <v>0.67</v>
      </c>
      <c r="P70" s="543" t="s">
        <v>25</v>
      </c>
      <c r="Q70" s="543">
        <f t="shared" si="11"/>
        <v>0.67</v>
      </c>
      <c r="R70" s="519"/>
      <c r="S70" s="543"/>
    </row>
    <row r="71" spans="1:19">
      <c r="A71" s="215" t="s">
        <v>644</v>
      </c>
      <c r="B71" s="119" t="s">
        <v>645</v>
      </c>
      <c r="C71" s="543">
        <v>1192</v>
      </c>
      <c r="D71" s="543" t="s">
        <v>406</v>
      </c>
      <c r="E71" s="543"/>
      <c r="F71" s="519" t="s">
        <v>76</v>
      </c>
      <c r="G71" s="543"/>
      <c r="H71" s="519" t="s">
        <v>549</v>
      </c>
      <c r="I71" s="543"/>
      <c r="J71" s="543" t="s">
        <v>644</v>
      </c>
      <c r="K71" s="543" t="s">
        <v>158</v>
      </c>
      <c r="L71" s="543">
        <f t="shared" si="9"/>
        <v>2</v>
      </c>
      <c r="M71" s="543" t="str">
        <f t="shared" si="3"/>
        <v>Same distinctiveness or better habitat required ≥</v>
      </c>
      <c r="N71" s="543" t="s">
        <v>158</v>
      </c>
      <c r="O71" s="543">
        <f t="shared" si="10"/>
        <v>1</v>
      </c>
      <c r="P71" s="543" t="s">
        <v>158</v>
      </c>
      <c r="Q71" s="543">
        <f t="shared" si="11"/>
        <v>1</v>
      </c>
      <c r="R71" s="519"/>
      <c r="S71" s="543"/>
    </row>
    <row r="72" spans="1:19">
      <c r="A72" s="215" t="s">
        <v>646</v>
      </c>
      <c r="B72" s="119" t="s">
        <v>647</v>
      </c>
      <c r="C72" s="543">
        <v>1030</v>
      </c>
      <c r="D72" s="543" t="s">
        <v>406</v>
      </c>
      <c r="E72" s="543"/>
      <c r="F72" s="519" t="s">
        <v>76</v>
      </c>
      <c r="G72" s="543"/>
      <c r="H72" s="519" t="s">
        <v>549</v>
      </c>
      <c r="I72" s="543"/>
      <c r="J72" s="543" t="s">
        <v>648</v>
      </c>
      <c r="K72" s="543" t="s">
        <v>158</v>
      </c>
      <c r="L72" s="543">
        <f t="shared" si="9"/>
        <v>2</v>
      </c>
      <c r="M72" s="543" t="str">
        <f t="shared" ref="M72:M126" si="12">IF($K72=$V$3,$X$3,IF($K72=$V$4,$X$4,IF($K72=$V$5,$X$5,IF($K72=$V$6,$X$6,IF($K72=$V$7,$X$7)))))</f>
        <v>Same distinctiveness or better habitat required ≥</v>
      </c>
      <c r="N72" s="543" t="s">
        <v>25</v>
      </c>
      <c r="O72" s="543">
        <f t="shared" si="10"/>
        <v>0.67</v>
      </c>
      <c r="P72" s="543" t="s">
        <v>25</v>
      </c>
      <c r="Q72" s="543">
        <f t="shared" si="11"/>
        <v>0.67</v>
      </c>
      <c r="R72" s="519"/>
      <c r="S72" s="543"/>
    </row>
    <row r="73" spans="1:19">
      <c r="A73" s="215" t="s">
        <v>250</v>
      </c>
      <c r="B73" s="119" t="s">
        <v>649</v>
      </c>
      <c r="C73" s="543" t="s">
        <v>650</v>
      </c>
      <c r="D73" s="543" t="s">
        <v>406</v>
      </c>
      <c r="E73" s="543"/>
      <c r="F73" s="519" t="s">
        <v>76</v>
      </c>
      <c r="G73" s="543"/>
      <c r="H73" s="519" t="s">
        <v>549</v>
      </c>
      <c r="I73" s="543"/>
      <c r="J73" s="543" t="s">
        <v>651</v>
      </c>
      <c r="K73" s="543" t="s">
        <v>25</v>
      </c>
      <c r="L73" s="543">
        <f t="shared" si="9"/>
        <v>4</v>
      </c>
      <c r="M73" s="543" t="str">
        <f t="shared" si="12"/>
        <v>Same broad habitat or a higher distinctiveness habitat required (≥)</v>
      </c>
      <c r="N73" s="543" t="s">
        <v>158</v>
      </c>
      <c r="O73" s="543">
        <f t="shared" si="10"/>
        <v>1</v>
      </c>
      <c r="P73" s="543" t="s">
        <v>158</v>
      </c>
      <c r="Q73" s="543">
        <f t="shared" si="11"/>
        <v>1</v>
      </c>
      <c r="R73" s="519"/>
      <c r="S73" s="543"/>
    </row>
    <row r="74" spans="1:19">
      <c r="A74" s="215" t="s">
        <v>652</v>
      </c>
      <c r="B74" s="119" t="s">
        <v>653</v>
      </c>
      <c r="C74" s="543">
        <v>1190</v>
      </c>
      <c r="D74" s="543" t="s">
        <v>406</v>
      </c>
      <c r="E74" s="543"/>
      <c r="F74" s="519" t="s">
        <v>76</v>
      </c>
      <c r="G74" s="543"/>
      <c r="H74" s="519" t="s">
        <v>549</v>
      </c>
      <c r="I74" s="543"/>
      <c r="J74" s="543" t="s">
        <v>652</v>
      </c>
      <c r="K74" s="543" t="s">
        <v>158</v>
      </c>
      <c r="L74" s="543">
        <f t="shared" si="9"/>
        <v>2</v>
      </c>
      <c r="M74" s="543" t="str">
        <f t="shared" si="12"/>
        <v>Same distinctiveness or better habitat required ≥</v>
      </c>
      <c r="N74" s="543" t="s">
        <v>25</v>
      </c>
      <c r="O74" s="543">
        <f t="shared" si="10"/>
        <v>0.67</v>
      </c>
      <c r="P74" s="543" t="s">
        <v>25</v>
      </c>
      <c r="Q74" s="543">
        <f t="shared" si="11"/>
        <v>0.67</v>
      </c>
      <c r="R74" s="519"/>
      <c r="S74" s="543"/>
    </row>
    <row r="75" spans="1:19">
      <c r="A75" s="215" t="s">
        <v>654</v>
      </c>
      <c r="B75" s="119" t="s">
        <v>655</v>
      </c>
      <c r="C75" s="543">
        <v>232</v>
      </c>
      <c r="D75" s="543" t="s">
        <v>406</v>
      </c>
      <c r="E75" s="543"/>
      <c r="F75" s="519" t="s">
        <v>76</v>
      </c>
      <c r="G75" s="543"/>
      <c r="H75" s="519" t="s">
        <v>549</v>
      </c>
      <c r="I75" s="543"/>
      <c r="J75" s="543" t="s">
        <v>654</v>
      </c>
      <c r="K75" s="543" t="s">
        <v>429</v>
      </c>
      <c r="L75" s="543">
        <f t="shared" si="9"/>
        <v>0</v>
      </c>
      <c r="M75" s="543" t="str">
        <f t="shared" si="12"/>
        <v>Compensation Not Required</v>
      </c>
      <c r="N75" s="543" t="s">
        <v>158</v>
      </c>
      <c r="O75" s="543">
        <f t="shared" si="10"/>
        <v>1</v>
      </c>
      <c r="P75" s="543" t="s">
        <v>158</v>
      </c>
      <c r="Q75" s="543">
        <f t="shared" si="11"/>
        <v>1</v>
      </c>
      <c r="R75" s="519"/>
      <c r="S75" s="543"/>
    </row>
    <row r="76" spans="1:19">
      <c r="A76" s="215" t="s">
        <v>245</v>
      </c>
      <c r="B76" s="119" t="s">
        <v>656</v>
      </c>
      <c r="C76" s="543">
        <v>350</v>
      </c>
      <c r="D76" s="543" t="s">
        <v>406</v>
      </c>
      <c r="E76" s="543"/>
      <c r="F76" s="519" t="s">
        <v>76</v>
      </c>
      <c r="G76" s="543"/>
      <c r="H76" s="519" t="s">
        <v>549</v>
      </c>
      <c r="I76" s="543"/>
      <c r="J76" s="543" t="s">
        <v>245</v>
      </c>
      <c r="K76" s="543" t="s">
        <v>158</v>
      </c>
      <c r="L76" s="543">
        <f t="shared" si="9"/>
        <v>2</v>
      </c>
      <c r="M76" s="543" t="str">
        <f t="shared" si="12"/>
        <v>Same distinctiveness or better habitat required ≥</v>
      </c>
      <c r="N76" s="543" t="s">
        <v>158</v>
      </c>
      <c r="O76" s="543">
        <f t="shared" si="10"/>
        <v>1</v>
      </c>
      <c r="P76" s="543" t="s">
        <v>158</v>
      </c>
      <c r="Q76" s="543">
        <f t="shared" si="11"/>
        <v>1</v>
      </c>
      <c r="R76" s="519" t="s">
        <v>657</v>
      </c>
      <c r="S76" s="543"/>
    </row>
    <row r="77" spans="1:19" ht="14.45" thickBot="1">
      <c r="A77" s="215" t="s">
        <v>658</v>
      </c>
      <c r="B77" s="217" t="s">
        <v>659</v>
      </c>
      <c r="C77" s="525">
        <v>231</v>
      </c>
      <c r="D77" s="525" t="s">
        <v>406</v>
      </c>
      <c r="E77" s="525"/>
      <c r="F77" s="507" t="s">
        <v>76</v>
      </c>
      <c r="G77" s="525"/>
      <c r="H77" s="507" t="s">
        <v>549</v>
      </c>
      <c r="I77" s="525"/>
      <c r="J77" s="525" t="s">
        <v>658</v>
      </c>
      <c r="K77" s="525" t="s">
        <v>158</v>
      </c>
      <c r="L77" s="525">
        <f t="shared" ref="L77:L98" si="13">IF(K77=$V$3,$W$3,IF(K77=$V$3,$W$3,IF(K77=$V$4,$W$4,IF(K77=$V$5,$W$5,IF(K77=$V$6,$W$6,IF(K77=$V$7,$W$7))))))</f>
        <v>2</v>
      </c>
      <c r="M77" s="525" t="str">
        <f t="shared" si="12"/>
        <v>Same distinctiveness or better habitat required ≥</v>
      </c>
      <c r="N77" s="525" t="s">
        <v>158</v>
      </c>
      <c r="O77" s="525">
        <f t="shared" si="10"/>
        <v>1</v>
      </c>
      <c r="P77" s="525" t="s">
        <v>158</v>
      </c>
      <c r="Q77" s="525">
        <f t="shared" si="11"/>
        <v>1</v>
      </c>
      <c r="R77" s="507"/>
      <c r="S77" s="525"/>
    </row>
    <row r="78" spans="1:19">
      <c r="A78" s="215" t="s">
        <v>660</v>
      </c>
      <c r="B78" s="218" t="s">
        <v>661</v>
      </c>
      <c r="C78" s="520" t="s">
        <v>662</v>
      </c>
      <c r="D78" s="520" t="s">
        <v>406</v>
      </c>
      <c r="E78" s="520"/>
      <c r="F78" s="506" t="s">
        <v>77</v>
      </c>
      <c r="G78" s="520"/>
      <c r="H78" s="506" t="s">
        <v>663</v>
      </c>
      <c r="I78" s="520" t="s">
        <v>662</v>
      </c>
      <c r="J78" s="575" t="s">
        <v>660</v>
      </c>
      <c r="K78" s="520" t="s">
        <v>409</v>
      </c>
      <c r="L78" s="520">
        <f t="shared" si="13"/>
        <v>8</v>
      </c>
      <c r="M78" s="520" t="str">
        <f t="shared" si="12"/>
        <v>Bespoke compensation likely to be required 🛠</v>
      </c>
      <c r="N78" s="520" t="s">
        <v>153</v>
      </c>
      <c r="O78" s="520">
        <f t="shared" si="10"/>
        <v>0.1</v>
      </c>
      <c r="P78" s="520" t="s">
        <v>155</v>
      </c>
      <c r="Q78" s="520">
        <f t="shared" si="11"/>
        <v>0.33</v>
      </c>
      <c r="R78" s="506"/>
      <c r="S78" s="520"/>
    </row>
    <row r="79" spans="1:19">
      <c r="A79" s="215" t="s">
        <v>664</v>
      </c>
      <c r="B79" s="119" t="s">
        <v>665</v>
      </c>
      <c r="C79" s="543">
        <v>24</v>
      </c>
      <c r="D79" s="543" t="s">
        <v>406</v>
      </c>
      <c r="E79" s="543" t="s">
        <v>666</v>
      </c>
      <c r="F79" s="519" t="s">
        <v>77</v>
      </c>
      <c r="G79" s="543" t="s">
        <v>667</v>
      </c>
      <c r="H79" s="519" t="s">
        <v>663</v>
      </c>
      <c r="I79" s="543"/>
      <c r="J79" s="576" t="s">
        <v>664</v>
      </c>
      <c r="K79" s="543" t="s">
        <v>409</v>
      </c>
      <c r="L79" s="543">
        <f t="shared" si="13"/>
        <v>8</v>
      </c>
      <c r="M79" s="543" t="str">
        <f t="shared" si="12"/>
        <v>Bespoke compensation likely to be required 🛠</v>
      </c>
      <c r="N79" s="543" t="s">
        <v>153</v>
      </c>
      <c r="O79" s="543">
        <f t="shared" si="10"/>
        <v>0.1</v>
      </c>
      <c r="P79" s="543" t="s">
        <v>155</v>
      </c>
      <c r="Q79" s="543">
        <f t="shared" si="11"/>
        <v>0.33</v>
      </c>
      <c r="R79" s="519"/>
      <c r="S79" s="543"/>
    </row>
    <row r="80" spans="1:19">
      <c r="A80" s="215" t="s">
        <v>668</v>
      </c>
      <c r="B80" s="119" t="s">
        <v>669</v>
      </c>
      <c r="C80" s="543" t="s">
        <v>670</v>
      </c>
      <c r="D80" s="543" t="s">
        <v>406</v>
      </c>
      <c r="E80" s="543"/>
      <c r="F80" s="519" t="s">
        <v>77</v>
      </c>
      <c r="G80" s="543" t="s">
        <v>671</v>
      </c>
      <c r="H80" s="519" t="s">
        <v>672</v>
      </c>
      <c r="I80" s="543" t="s">
        <v>670</v>
      </c>
      <c r="J80" s="571" t="s">
        <v>673</v>
      </c>
      <c r="K80" s="543" t="s">
        <v>409</v>
      </c>
      <c r="L80" s="543">
        <f t="shared" si="13"/>
        <v>8</v>
      </c>
      <c r="M80" s="543" t="str">
        <f t="shared" si="12"/>
        <v>Bespoke compensation likely to be required 🛠</v>
      </c>
      <c r="N80" s="543" t="s">
        <v>155</v>
      </c>
      <c r="O80" s="543">
        <f t="shared" si="10"/>
        <v>0.33</v>
      </c>
      <c r="P80" s="543" t="s">
        <v>155</v>
      </c>
      <c r="Q80" s="543">
        <f t="shared" si="11"/>
        <v>0.33</v>
      </c>
      <c r="R80" s="519"/>
      <c r="S80" s="543"/>
    </row>
    <row r="81" spans="1:19">
      <c r="A81" s="215" t="s">
        <v>674</v>
      </c>
      <c r="B81" s="119" t="s">
        <v>675</v>
      </c>
      <c r="C81" s="543" t="s">
        <v>676</v>
      </c>
      <c r="D81" s="543" t="s">
        <v>406</v>
      </c>
      <c r="E81" s="543"/>
      <c r="F81" s="519" t="s">
        <v>77</v>
      </c>
      <c r="G81" s="543"/>
      <c r="H81" s="519" t="s">
        <v>663</v>
      </c>
      <c r="I81" s="543" t="s">
        <v>676</v>
      </c>
      <c r="J81" s="571" t="s">
        <v>674</v>
      </c>
      <c r="K81" s="543" t="s">
        <v>409</v>
      </c>
      <c r="L81" s="543">
        <f t="shared" si="13"/>
        <v>8</v>
      </c>
      <c r="M81" s="543" t="str">
        <f t="shared" si="12"/>
        <v>Bespoke compensation likely to be required 🛠</v>
      </c>
      <c r="N81" s="543" t="s">
        <v>153</v>
      </c>
      <c r="O81" s="543">
        <f t="shared" si="10"/>
        <v>0.1</v>
      </c>
      <c r="P81" s="543" t="s">
        <v>155</v>
      </c>
      <c r="Q81" s="543">
        <f t="shared" si="11"/>
        <v>0.33</v>
      </c>
      <c r="R81" s="519"/>
      <c r="S81" s="543"/>
    </row>
    <row r="82" spans="1:19">
      <c r="A82" s="215" t="s">
        <v>677</v>
      </c>
      <c r="B82" s="119" t="s">
        <v>678</v>
      </c>
      <c r="C82" s="543" t="s">
        <v>679</v>
      </c>
      <c r="D82" s="543" t="s">
        <v>406</v>
      </c>
      <c r="E82" s="543"/>
      <c r="F82" s="519" t="s">
        <v>77</v>
      </c>
      <c r="G82" s="543"/>
      <c r="H82" s="519" t="s">
        <v>672</v>
      </c>
      <c r="I82" s="543" t="s">
        <v>680</v>
      </c>
      <c r="J82" s="543" t="s">
        <v>677</v>
      </c>
      <c r="K82" s="543" t="s">
        <v>409</v>
      </c>
      <c r="L82" s="543">
        <f t="shared" si="13"/>
        <v>8</v>
      </c>
      <c r="M82" s="543" t="str">
        <f t="shared" si="12"/>
        <v>Bespoke compensation likely to be required 🛠</v>
      </c>
      <c r="N82" s="543" t="s">
        <v>153</v>
      </c>
      <c r="O82" s="543">
        <f t="shared" si="10"/>
        <v>0.1</v>
      </c>
      <c r="P82" s="543" t="s">
        <v>155</v>
      </c>
      <c r="Q82" s="543">
        <f t="shared" si="11"/>
        <v>0.33</v>
      </c>
      <c r="R82" s="519"/>
      <c r="S82" s="543"/>
    </row>
    <row r="83" spans="1:19">
      <c r="A83" s="215" t="s">
        <v>681</v>
      </c>
      <c r="B83" s="119" t="s">
        <v>682</v>
      </c>
      <c r="C83" s="543" t="s">
        <v>683</v>
      </c>
      <c r="D83" s="543" t="s">
        <v>406</v>
      </c>
      <c r="E83" s="543"/>
      <c r="F83" s="519" t="s">
        <v>77</v>
      </c>
      <c r="G83" s="543"/>
      <c r="H83" s="519" t="s">
        <v>672</v>
      </c>
      <c r="I83" s="543" t="s">
        <v>683</v>
      </c>
      <c r="J83" s="571" t="s">
        <v>681</v>
      </c>
      <c r="K83" s="543" t="s">
        <v>409</v>
      </c>
      <c r="L83" s="543">
        <f t="shared" si="13"/>
        <v>8</v>
      </c>
      <c r="M83" s="543" t="str">
        <f t="shared" si="12"/>
        <v>Bespoke compensation likely to be required 🛠</v>
      </c>
      <c r="N83" s="543" t="s">
        <v>155</v>
      </c>
      <c r="O83" s="543">
        <f t="shared" si="10"/>
        <v>0.33</v>
      </c>
      <c r="P83" s="543" t="s">
        <v>155</v>
      </c>
      <c r="Q83" s="543">
        <f t="shared" si="11"/>
        <v>0.33</v>
      </c>
      <c r="R83" s="519"/>
      <c r="S83" s="543"/>
    </row>
    <row r="84" spans="1:19">
      <c r="A84" s="215" t="s">
        <v>684</v>
      </c>
      <c r="B84" s="119" t="s">
        <v>685</v>
      </c>
      <c r="C84" s="543" t="s">
        <v>686</v>
      </c>
      <c r="D84" s="543" t="s">
        <v>406</v>
      </c>
      <c r="E84" s="543"/>
      <c r="F84" s="519" t="s">
        <v>77</v>
      </c>
      <c r="G84" s="543"/>
      <c r="H84" s="519" t="s">
        <v>672</v>
      </c>
      <c r="I84" s="543" t="s">
        <v>686</v>
      </c>
      <c r="J84" s="571" t="s">
        <v>684</v>
      </c>
      <c r="K84" s="543" t="s">
        <v>155</v>
      </c>
      <c r="L84" s="543">
        <f t="shared" si="13"/>
        <v>6</v>
      </c>
      <c r="M84" s="543" t="str">
        <f t="shared" si="12"/>
        <v>Same habitat required =</v>
      </c>
      <c r="N84" s="543" t="s">
        <v>25</v>
      </c>
      <c r="O84" s="543">
        <f t="shared" si="10"/>
        <v>0.67</v>
      </c>
      <c r="P84" s="543" t="s">
        <v>25</v>
      </c>
      <c r="Q84" s="543">
        <f t="shared" si="11"/>
        <v>0.67</v>
      </c>
      <c r="R84" s="519"/>
      <c r="S84" s="543"/>
    </row>
    <row r="85" spans="1:19" ht="14.45" thickBot="1">
      <c r="A85" s="215" t="s">
        <v>687</v>
      </c>
      <c r="B85" s="217" t="s">
        <v>688</v>
      </c>
      <c r="C85" s="577" t="s">
        <v>689</v>
      </c>
      <c r="D85" s="525" t="s">
        <v>406</v>
      </c>
      <c r="E85" s="525"/>
      <c r="F85" s="507" t="s">
        <v>77</v>
      </c>
      <c r="G85" s="525"/>
      <c r="H85" s="507" t="s">
        <v>672</v>
      </c>
      <c r="I85" s="525"/>
      <c r="J85" s="578" t="s">
        <v>688</v>
      </c>
      <c r="K85" s="525" t="s">
        <v>409</v>
      </c>
      <c r="L85" s="525">
        <f t="shared" si="13"/>
        <v>8</v>
      </c>
      <c r="M85" s="525" t="str">
        <f t="shared" si="12"/>
        <v>Bespoke compensation likely to be required 🛠</v>
      </c>
      <c r="N85" s="525" t="s">
        <v>153</v>
      </c>
      <c r="O85" s="525">
        <f t="shared" si="10"/>
        <v>0.1</v>
      </c>
      <c r="P85" s="525" t="s">
        <v>155</v>
      </c>
      <c r="Q85" s="525">
        <f t="shared" si="11"/>
        <v>0.33</v>
      </c>
      <c r="R85" s="507"/>
      <c r="S85" s="525"/>
    </row>
    <row r="86" spans="1:19">
      <c r="A86" s="215" t="s">
        <v>690</v>
      </c>
      <c r="B86" s="218" t="s">
        <v>691</v>
      </c>
      <c r="C86" s="520">
        <v>53</v>
      </c>
      <c r="D86" s="520" t="s">
        <v>406</v>
      </c>
      <c r="E86" s="520"/>
      <c r="F86" s="506" t="s">
        <v>78</v>
      </c>
      <c r="G86" s="520"/>
      <c r="H86" s="506" t="s">
        <v>692</v>
      </c>
      <c r="I86" s="520"/>
      <c r="J86" s="520" t="s">
        <v>690</v>
      </c>
      <c r="K86" s="520" t="s">
        <v>155</v>
      </c>
      <c r="L86" s="520">
        <f t="shared" si="13"/>
        <v>6</v>
      </c>
      <c r="M86" s="520" t="str">
        <f t="shared" si="12"/>
        <v>Same habitat required =</v>
      </c>
      <c r="N86" s="520" t="s">
        <v>158</v>
      </c>
      <c r="O86" s="520">
        <f t="shared" si="10"/>
        <v>1</v>
      </c>
      <c r="P86" s="520" t="s">
        <v>158</v>
      </c>
      <c r="Q86" s="520">
        <f t="shared" si="11"/>
        <v>1</v>
      </c>
      <c r="R86" s="506"/>
      <c r="S86" s="520"/>
    </row>
    <row r="87" spans="1:19">
      <c r="A87" s="215" t="s">
        <v>693</v>
      </c>
      <c r="B87" s="119" t="s">
        <v>694</v>
      </c>
      <c r="C87" s="543" t="s">
        <v>695</v>
      </c>
      <c r="D87" s="543" t="s">
        <v>406</v>
      </c>
      <c r="E87" s="543"/>
      <c r="F87" s="519" t="s">
        <v>78</v>
      </c>
      <c r="G87" s="543"/>
      <c r="H87" s="519" t="s">
        <v>696</v>
      </c>
      <c r="I87" s="543" t="s">
        <v>695</v>
      </c>
      <c r="J87" s="571" t="s">
        <v>693</v>
      </c>
      <c r="K87" s="543" t="s">
        <v>155</v>
      </c>
      <c r="L87" s="543">
        <f t="shared" si="13"/>
        <v>6</v>
      </c>
      <c r="M87" s="543" t="str">
        <f t="shared" si="12"/>
        <v>Same habitat required =</v>
      </c>
      <c r="N87" s="543" t="s">
        <v>155</v>
      </c>
      <c r="O87" s="543">
        <f t="shared" si="10"/>
        <v>0.33</v>
      </c>
      <c r="P87" s="543" t="s">
        <v>155</v>
      </c>
      <c r="Q87" s="543">
        <f t="shared" si="11"/>
        <v>0.33</v>
      </c>
      <c r="R87" s="519"/>
      <c r="S87" s="543"/>
    </row>
    <row r="88" spans="1:19">
      <c r="A88" s="215" t="s">
        <v>697</v>
      </c>
      <c r="B88" s="119" t="s">
        <v>698</v>
      </c>
      <c r="C88" s="543" t="s">
        <v>699</v>
      </c>
      <c r="D88" s="543" t="s">
        <v>406</v>
      </c>
      <c r="E88" s="543"/>
      <c r="F88" s="519" t="s">
        <v>78</v>
      </c>
      <c r="G88" s="543"/>
      <c r="H88" s="519" t="s">
        <v>696</v>
      </c>
      <c r="I88" s="543" t="s">
        <v>699</v>
      </c>
      <c r="J88" s="571" t="s">
        <v>697</v>
      </c>
      <c r="K88" s="543" t="s">
        <v>155</v>
      </c>
      <c r="L88" s="543">
        <f t="shared" si="13"/>
        <v>6</v>
      </c>
      <c r="M88" s="543" t="str">
        <f t="shared" si="12"/>
        <v>Same habitat required =</v>
      </c>
      <c r="N88" s="543" t="s">
        <v>155</v>
      </c>
      <c r="O88" s="543">
        <f t="shared" si="10"/>
        <v>0.33</v>
      </c>
      <c r="P88" s="543" t="s">
        <v>155</v>
      </c>
      <c r="Q88" s="543">
        <f t="shared" si="11"/>
        <v>0.33</v>
      </c>
      <c r="R88" s="519"/>
      <c r="S88" s="543"/>
    </row>
    <row r="89" spans="1:19">
      <c r="A89" s="215" t="s">
        <v>700</v>
      </c>
      <c r="B89" s="119" t="s">
        <v>701</v>
      </c>
      <c r="C89" s="543" t="s">
        <v>702</v>
      </c>
      <c r="D89" s="543" t="s">
        <v>406</v>
      </c>
      <c r="E89" s="543"/>
      <c r="F89" s="519" t="s">
        <v>78</v>
      </c>
      <c r="G89" s="543" t="s">
        <v>703</v>
      </c>
      <c r="H89" s="519" t="s">
        <v>704</v>
      </c>
      <c r="I89" s="543" t="s">
        <v>702</v>
      </c>
      <c r="J89" s="571" t="s">
        <v>700</v>
      </c>
      <c r="K89" s="543" t="s">
        <v>155</v>
      </c>
      <c r="L89" s="543">
        <f t="shared" si="13"/>
        <v>6</v>
      </c>
      <c r="M89" s="543" t="str">
        <f t="shared" si="12"/>
        <v>Same habitat required =</v>
      </c>
      <c r="N89" s="543" t="s">
        <v>155</v>
      </c>
      <c r="O89" s="543">
        <f t="shared" si="10"/>
        <v>0.33</v>
      </c>
      <c r="P89" s="543" t="s">
        <v>155</v>
      </c>
      <c r="Q89" s="543">
        <f t="shared" si="11"/>
        <v>0.33</v>
      </c>
      <c r="R89" s="519"/>
      <c r="S89" s="543"/>
    </row>
    <row r="90" spans="1:19">
      <c r="A90" s="215" t="s">
        <v>705</v>
      </c>
      <c r="B90" s="119" t="s">
        <v>706</v>
      </c>
      <c r="C90" s="543" t="s">
        <v>707</v>
      </c>
      <c r="D90" s="543" t="s">
        <v>406</v>
      </c>
      <c r="E90" s="543"/>
      <c r="F90" s="519" t="s">
        <v>78</v>
      </c>
      <c r="G90" s="543"/>
      <c r="H90" s="519" t="s">
        <v>704</v>
      </c>
      <c r="I90" s="543" t="s">
        <v>707</v>
      </c>
      <c r="J90" s="543" t="s">
        <v>705</v>
      </c>
      <c r="K90" s="543" t="s">
        <v>158</v>
      </c>
      <c r="L90" s="543">
        <f t="shared" si="13"/>
        <v>2</v>
      </c>
      <c r="M90" s="543" t="str">
        <f t="shared" si="12"/>
        <v>Same distinctiveness or better habitat required ≥</v>
      </c>
      <c r="N90" s="543" t="s">
        <v>158</v>
      </c>
      <c r="O90" s="543">
        <f t="shared" si="10"/>
        <v>1</v>
      </c>
      <c r="P90" s="543" t="s">
        <v>158</v>
      </c>
      <c r="Q90" s="543">
        <f t="shared" si="11"/>
        <v>1</v>
      </c>
      <c r="R90" s="519"/>
      <c r="S90" s="543"/>
    </row>
    <row r="91" spans="1:19">
      <c r="A91" s="215" t="s">
        <v>708</v>
      </c>
      <c r="B91" s="119" t="s">
        <v>709</v>
      </c>
      <c r="C91" s="543" t="s">
        <v>710</v>
      </c>
      <c r="D91" s="543" t="s">
        <v>406</v>
      </c>
      <c r="E91" s="543"/>
      <c r="F91" s="519" t="s">
        <v>78</v>
      </c>
      <c r="G91" s="543"/>
      <c r="H91" s="519" t="s">
        <v>704</v>
      </c>
      <c r="I91" s="543" t="s">
        <v>710</v>
      </c>
      <c r="J91" s="543" t="s">
        <v>708</v>
      </c>
      <c r="K91" s="543" t="s">
        <v>25</v>
      </c>
      <c r="L91" s="543">
        <f t="shared" si="13"/>
        <v>4</v>
      </c>
      <c r="M91" s="543" t="str">
        <f t="shared" si="12"/>
        <v>Same broad habitat or a higher distinctiveness habitat required (≥)</v>
      </c>
      <c r="N91" s="543" t="s">
        <v>25</v>
      </c>
      <c r="O91" s="543">
        <f t="shared" si="10"/>
        <v>0.67</v>
      </c>
      <c r="P91" s="543" t="s">
        <v>25</v>
      </c>
      <c r="Q91" s="543">
        <f t="shared" si="11"/>
        <v>0.67</v>
      </c>
      <c r="R91" s="519"/>
      <c r="S91" s="543"/>
    </row>
    <row r="92" spans="1:19">
      <c r="A92" s="215" t="s">
        <v>225</v>
      </c>
      <c r="B92" s="119" t="s">
        <v>711</v>
      </c>
      <c r="C92" s="543" t="s">
        <v>712</v>
      </c>
      <c r="D92" s="543" t="s">
        <v>406</v>
      </c>
      <c r="E92" s="543"/>
      <c r="F92" s="519" t="s">
        <v>78</v>
      </c>
      <c r="G92" s="543"/>
      <c r="H92" s="519" t="s">
        <v>696</v>
      </c>
      <c r="I92" s="543" t="s">
        <v>712</v>
      </c>
      <c r="J92" s="543" t="s">
        <v>225</v>
      </c>
      <c r="K92" s="543" t="s">
        <v>25</v>
      </c>
      <c r="L92" s="543">
        <f t="shared" si="13"/>
        <v>4</v>
      </c>
      <c r="M92" s="543" t="str">
        <f t="shared" si="12"/>
        <v>Same broad habitat or a higher distinctiveness habitat required (≥)</v>
      </c>
      <c r="N92" s="543" t="s">
        <v>158</v>
      </c>
      <c r="O92" s="543">
        <f t="shared" si="10"/>
        <v>1</v>
      </c>
      <c r="P92" s="543" t="s">
        <v>158</v>
      </c>
      <c r="Q92" s="543">
        <f t="shared" si="11"/>
        <v>1</v>
      </c>
      <c r="R92" s="519"/>
      <c r="S92" s="543"/>
    </row>
    <row r="93" spans="1:19">
      <c r="A93" s="215" t="s">
        <v>304</v>
      </c>
      <c r="B93" s="119" t="s">
        <v>713</v>
      </c>
      <c r="C93" s="543" t="s">
        <v>714</v>
      </c>
      <c r="D93" s="543" t="s">
        <v>406</v>
      </c>
      <c r="E93" s="543"/>
      <c r="F93" s="519" t="s">
        <v>78</v>
      </c>
      <c r="G93" s="543"/>
      <c r="H93" s="519" t="s">
        <v>696</v>
      </c>
      <c r="I93" s="543" t="s">
        <v>714</v>
      </c>
      <c r="J93" s="543" t="s">
        <v>304</v>
      </c>
      <c r="K93" s="543" t="s">
        <v>25</v>
      </c>
      <c r="L93" s="543">
        <f t="shared" si="13"/>
        <v>4</v>
      </c>
      <c r="M93" s="543" t="str">
        <f t="shared" si="12"/>
        <v>Same broad habitat or a higher distinctiveness habitat required (≥)</v>
      </c>
      <c r="N93" s="543" t="s">
        <v>158</v>
      </c>
      <c r="O93" s="543">
        <f t="shared" ref="O93:O98" si="14">VLOOKUP(N93,Difficulty,2,FALSE)</f>
        <v>1</v>
      </c>
      <c r="P93" s="543" t="s">
        <v>158</v>
      </c>
      <c r="Q93" s="543">
        <f t="shared" ref="Q93:Q98" si="15">VLOOKUP(P93,Difficulty,2,FALSE)</f>
        <v>1</v>
      </c>
      <c r="R93" s="519"/>
      <c r="S93" s="543"/>
    </row>
    <row r="94" spans="1:19">
      <c r="A94" s="215" t="s">
        <v>715</v>
      </c>
      <c r="B94" s="119" t="s">
        <v>716</v>
      </c>
      <c r="C94" s="543" t="s">
        <v>717</v>
      </c>
      <c r="D94" s="543" t="s">
        <v>406</v>
      </c>
      <c r="E94" s="543"/>
      <c r="F94" s="519" t="s">
        <v>78</v>
      </c>
      <c r="G94" s="543"/>
      <c r="H94" s="519" t="s">
        <v>696</v>
      </c>
      <c r="I94" s="543" t="s">
        <v>717</v>
      </c>
      <c r="J94" s="571" t="s">
        <v>715</v>
      </c>
      <c r="K94" s="543" t="s">
        <v>155</v>
      </c>
      <c r="L94" s="543">
        <f t="shared" si="13"/>
        <v>6</v>
      </c>
      <c r="M94" s="543" t="str">
        <f t="shared" si="12"/>
        <v>Same habitat required =</v>
      </c>
      <c r="N94" s="543" t="s">
        <v>25</v>
      </c>
      <c r="O94" s="543">
        <f t="shared" si="14"/>
        <v>0.67</v>
      </c>
      <c r="P94" s="543" t="s">
        <v>25</v>
      </c>
      <c r="Q94" s="543">
        <f t="shared" si="15"/>
        <v>0.67</v>
      </c>
      <c r="R94" s="519"/>
      <c r="S94" s="543"/>
    </row>
    <row r="95" spans="1:19">
      <c r="A95" s="215" t="s">
        <v>718</v>
      </c>
      <c r="B95" s="119" t="s">
        <v>719</v>
      </c>
      <c r="C95" s="543" t="s">
        <v>720</v>
      </c>
      <c r="D95" s="543" t="s">
        <v>406</v>
      </c>
      <c r="E95" s="543"/>
      <c r="F95" s="519" t="s">
        <v>78</v>
      </c>
      <c r="G95" s="543"/>
      <c r="H95" s="519" t="s">
        <v>696</v>
      </c>
      <c r="I95" s="543" t="s">
        <v>720</v>
      </c>
      <c r="J95" s="571" t="s">
        <v>718</v>
      </c>
      <c r="K95" s="543" t="s">
        <v>155</v>
      </c>
      <c r="L95" s="543">
        <f t="shared" si="13"/>
        <v>6</v>
      </c>
      <c r="M95" s="543" t="str">
        <f t="shared" si="12"/>
        <v>Same habitat required =</v>
      </c>
      <c r="N95" s="543" t="s">
        <v>155</v>
      </c>
      <c r="O95" s="543">
        <f t="shared" si="14"/>
        <v>0.33</v>
      </c>
      <c r="P95" s="543" t="s">
        <v>155</v>
      </c>
      <c r="Q95" s="543">
        <f t="shared" si="15"/>
        <v>0.33</v>
      </c>
      <c r="R95" s="519"/>
      <c r="S95" s="543"/>
    </row>
    <row r="96" spans="1:19">
      <c r="A96" s="215" t="s">
        <v>721</v>
      </c>
      <c r="B96" s="119" t="s">
        <v>722</v>
      </c>
      <c r="C96" s="543" t="s">
        <v>723</v>
      </c>
      <c r="D96" s="543" t="s">
        <v>406</v>
      </c>
      <c r="E96" s="543" t="s">
        <v>724</v>
      </c>
      <c r="F96" s="519" t="s">
        <v>78</v>
      </c>
      <c r="G96" s="543" t="s">
        <v>725</v>
      </c>
      <c r="H96" s="519" t="s">
        <v>696</v>
      </c>
      <c r="I96" s="543" t="s">
        <v>723</v>
      </c>
      <c r="J96" s="571" t="s">
        <v>721</v>
      </c>
      <c r="K96" s="543" t="s">
        <v>155</v>
      </c>
      <c r="L96" s="543">
        <f t="shared" si="13"/>
        <v>6</v>
      </c>
      <c r="M96" s="543" t="str">
        <f t="shared" si="12"/>
        <v>Same habitat required =</v>
      </c>
      <c r="N96" s="543" t="s">
        <v>155</v>
      </c>
      <c r="O96" s="543">
        <f t="shared" si="14"/>
        <v>0.33</v>
      </c>
      <c r="P96" s="543" t="s">
        <v>155</v>
      </c>
      <c r="Q96" s="543">
        <f t="shared" si="15"/>
        <v>0.33</v>
      </c>
      <c r="R96" s="519"/>
      <c r="S96" s="543"/>
    </row>
    <row r="97" spans="1:19">
      <c r="A97" s="215" t="s">
        <v>726</v>
      </c>
      <c r="B97" s="119" t="s">
        <v>727</v>
      </c>
      <c r="C97" s="543" t="s">
        <v>728</v>
      </c>
      <c r="D97" s="543" t="s">
        <v>406</v>
      </c>
      <c r="E97" s="543"/>
      <c r="F97" s="519" t="s">
        <v>78</v>
      </c>
      <c r="G97" s="543"/>
      <c r="H97" s="519" t="s">
        <v>696</v>
      </c>
      <c r="I97" s="543" t="s">
        <v>728</v>
      </c>
      <c r="J97" s="571" t="s">
        <v>726</v>
      </c>
      <c r="K97" s="543" t="s">
        <v>155</v>
      </c>
      <c r="L97" s="543">
        <f t="shared" si="13"/>
        <v>6</v>
      </c>
      <c r="M97" s="543" t="str">
        <f t="shared" si="12"/>
        <v>Same habitat required =</v>
      </c>
      <c r="N97" s="543" t="s">
        <v>25</v>
      </c>
      <c r="O97" s="543">
        <f t="shared" si="14"/>
        <v>0.67</v>
      </c>
      <c r="P97" s="543" t="s">
        <v>25</v>
      </c>
      <c r="Q97" s="543">
        <f t="shared" si="15"/>
        <v>0.67</v>
      </c>
      <c r="R97" s="519"/>
      <c r="S97" s="543"/>
    </row>
    <row r="98" spans="1:19" ht="14.45" thickBot="1">
      <c r="A98" s="215" t="s">
        <v>272</v>
      </c>
      <c r="B98" s="217" t="s">
        <v>729</v>
      </c>
      <c r="C98" s="525">
        <v>20</v>
      </c>
      <c r="D98" s="525" t="s">
        <v>406</v>
      </c>
      <c r="E98" s="525"/>
      <c r="F98" s="507" t="s">
        <v>78</v>
      </c>
      <c r="G98" s="525"/>
      <c r="H98" s="507" t="s">
        <v>692</v>
      </c>
      <c r="I98" s="525"/>
      <c r="J98" s="525" t="s">
        <v>272</v>
      </c>
      <c r="K98" s="525" t="s">
        <v>409</v>
      </c>
      <c r="L98" s="525">
        <f t="shared" si="13"/>
        <v>8</v>
      </c>
      <c r="M98" s="525" t="str">
        <f t="shared" si="12"/>
        <v>Bespoke compensation likely to be required 🛠</v>
      </c>
      <c r="N98" s="525" t="s">
        <v>153</v>
      </c>
      <c r="O98" s="525">
        <f t="shared" si="14"/>
        <v>0.1</v>
      </c>
      <c r="P98" s="525" t="s">
        <v>155</v>
      </c>
      <c r="Q98" s="525">
        <f t="shared" si="15"/>
        <v>0.33</v>
      </c>
      <c r="R98" s="507"/>
      <c r="S98" s="525"/>
    </row>
    <row r="99" spans="1:19" ht="14.45" thickBot="1">
      <c r="A99" s="215" t="s">
        <v>82</v>
      </c>
      <c r="B99" s="219" t="s">
        <v>730</v>
      </c>
      <c r="C99" s="579" t="s">
        <v>731</v>
      </c>
      <c r="D99" s="580" t="s">
        <v>732</v>
      </c>
      <c r="E99" s="580" t="s">
        <v>733</v>
      </c>
      <c r="F99" s="581" t="s">
        <v>82</v>
      </c>
      <c r="G99" s="580"/>
      <c r="H99" s="581" t="s">
        <v>82</v>
      </c>
      <c r="I99" s="581"/>
      <c r="J99" s="580"/>
      <c r="K99" s="581" t="s">
        <v>155</v>
      </c>
      <c r="L99" s="581">
        <f t="shared" ref="L99" si="16">IF(K99=$V$3,$W$3,IF(K99=$V$3,$W$3,IF(K99=$V$4,$W$4,IF(K99=$V$5,$W$5,IF(K99=$V$6,$W$6,IF(K99=$V$7,$W$7))))))</f>
        <v>6</v>
      </c>
      <c r="M99" s="581" t="str">
        <f t="shared" si="12"/>
        <v>Same habitat required =</v>
      </c>
      <c r="N99" s="581" t="s">
        <v>25</v>
      </c>
      <c r="O99" s="581">
        <f t="shared" ref="O99" si="17">VLOOKUP(N99,Difficulty,2,FALSE)</f>
        <v>0.67</v>
      </c>
      <c r="P99" s="581" t="s">
        <v>25</v>
      </c>
      <c r="Q99" s="581">
        <f t="shared" ref="Q99" si="18">VLOOKUP(P99,Difficulty,2,FALSE)</f>
        <v>0.67</v>
      </c>
      <c r="R99" s="582"/>
      <c r="S99" s="581"/>
    </row>
    <row r="100" spans="1:19">
      <c r="A100" s="215" t="s">
        <v>734</v>
      </c>
      <c r="B100" s="218" t="s">
        <v>735</v>
      </c>
      <c r="C100" s="583" t="s">
        <v>736</v>
      </c>
      <c r="D100" s="584" t="s">
        <v>732</v>
      </c>
      <c r="E100" s="584" t="s">
        <v>737</v>
      </c>
      <c r="F100" s="520" t="s">
        <v>81</v>
      </c>
      <c r="G100" s="584"/>
      <c r="H100" s="520" t="s">
        <v>734</v>
      </c>
      <c r="I100" s="520"/>
      <c r="J100" s="584"/>
      <c r="K100" s="520" t="s">
        <v>155</v>
      </c>
      <c r="L100" s="520">
        <f t="shared" ref="L100:L124" si="19">IF(K100=$V$3,$W$3,IF(K100=$V$3,$W$3,IF(K100=$V$4,$W$4,IF(K100=$V$5,$W$5,IF(K100=$V$6,$W$6,IF(K100=$V$7,$W$7))))))</f>
        <v>6</v>
      </c>
      <c r="M100" s="520" t="str">
        <f t="shared" si="12"/>
        <v>Same habitat required =</v>
      </c>
      <c r="N100" s="520" t="s">
        <v>155</v>
      </c>
      <c r="O100" s="520">
        <f t="shared" ref="O100:O124" si="20">VLOOKUP(N100,Difficulty,2,FALSE)</f>
        <v>0.33</v>
      </c>
      <c r="P100" s="520" t="s">
        <v>25</v>
      </c>
      <c r="Q100" s="520">
        <f t="shared" ref="Q100:Q124" si="21">VLOOKUP(P100,Difficulty,2,FALSE)</f>
        <v>0.67</v>
      </c>
      <c r="R100" s="506"/>
      <c r="S100" s="520"/>
    </row>
    <row r="101" spans="1:19">
      <c r="A101" s="220" t="s">
        <v>738</v>
      </c>
      <c r="B101" s="119" t="s">
        <v>739</v>
      </c>
      <c r="C101" s="583" t="s">
        <v>740</v>
      </c>
      <c r="D101" s="585" t="s">
        <v>732</v>
      </c>
      <c r="E101" s="585" t="s">
        <v>737</v>
      </c>
      <c r="F101" s="543" t="s">
        <v>81</v>
      </c>
      <c r="G101" s="585"/>
      <c r="H101" s="571" t="s">
        <v>741</v>
      </c>
      <c r="I101" s="543"/>
      <c r="J101" s="585"/>
      <c r="K101" s="543" t="s">
        <v>409</v>
      </c>
      <c r="L101" s="543">
        <f t="shared" si="19"/>
        <v>8</v>
      </c>
      <c r="M101" s="543" t="str">
        <f t="shared" si="12"/>
        <v>Bespoke compensation likely to be required 🛠</v>
      </c>
      <c r="N101" s="543" t="s">
        <v>153</v>
      </c>
      <c r="O101" s="543">
        <f t="shared" si="20"/>
        <v>0.1</v>
      </c>
      <c r="P101" s="543" t="s">
        <v>25</v>
      </c>
      <c r="Q101" s="543">
        <f t="shared" si="21"/>
        <v>0.67</v>
      </c>
      <c r="R101" s="519"/>
      <c r="S101" s="543"/>
    </row>
    <row r="102" spans="1:19">
      <c r="A102" s="215" t="s">
        <v>742</v>
      </c>
      <c r="B102" s="119" t="s">
        <v>743</v>
      </c>
      <c r="C102" s="570" t="s">
        <v>744</v>
      </c>
      <c r="D102" s="585" t="s">
        <v>732</v>
      </c>
      <c r="E102" s="585" t="s">
        <v>737</v>
      </c>
      <c r="F102" s="543" t="s">
        <v>81</v>
      </c>
      <c r="G102" s="585"/>
      <c r="H102" s="543" t="s">
        <v>742</v>
      </c>
      <c r="I102" s="543"/>
      <c r="J102" s="585"/>
      <c r="K102" s="543" t="s">
        <v>155</v>
      </c>
      <c r="L102" s="543">
        <f t="shared" si="19"/>
        <v>6</v>
      </c>
      <c r="M102" s="543" t="str">
        <f t="shared" si="12"/>
        <v>Same habitat required =</v>
      </c>
      <c r="N102" s="543" t="s">
        <v>155</v>
      </c>
      <c r="O102" s="543">
        <f t="shared" si="20"/>
        <v>0.33</v>
      </c>
      <c r="P102" s="543" t="s">
        <v>25</v>
      </c>
      <c r="Q102" s="543">
        <f t="shared" si="21"/>
        <v>0.67</v>
      </c>
      <c r="R102" s="519"/>
      <c r="S102" s="543"/>
    </row>
    <row r="103" spans="1:19">
      <c r="A103" s="220" t="s">
        <v>745</v>
      </c>
      <c r="B103" s="119" t="s">
        <v>746</v>
      </c>
      <c r="C103" s="570" t="s">
        <v>747</v>
      </c>
      <c r="D103" s="585" t="s">
        <v>732</v>
      </c>
      <c r="E103" s="585" t="s">
        <v>737</v>
      </c>
      <c r="F103" s="543" t="s">
        <v>81</v>
      </c>
      <c r="G103" s="585"/>
      <c r="H103" s="571" t="s">
        <v>748</v>
      </c>
      <c r="I103" s="543"/>
      <c r="J103" s="585"/>
      <c r="K103" s="543" t="s">
        <v>409</v>
      </c>
      <c r="L103" s="543">
        <f t="shared" si="19"/>
        <v>8</v>
      </c>
      <c r="M103" s="543" t="str">
        <f t="shared" si="12"/>
        <v>Bespoke compensation likely to be required 🛠</v>
      </c>
      <c r="N103" s="543" t="s">
        <v>153</v>
      </c>
      <c r="O103" s="543">
        <f t="shared" si="20"/>
        <v>0.1</v>
      </c>
      <c r="P103" s="543" t="s">
        <v>25</v>
      </c>
      <c r="Q103" s="543">
        <f t="shared" si="21"/>
        <v>0.67</v>
      </c>
      <c r="R103" s="519"/>
      <c r="S103" s="543"/>
    </row>
    <row r="104" spans="1:19">
      <c r="A104" s="215" t="s">
        <v>749</v>
      </c>
      <c r="B104" s="119" t="s">
        <v>750</v>
      </c>
      <c r="C104" s="570" t="s">
        <v>751</v>
      </c>
      <c r="D104" s="585" t="s">
        <v>732</v>
      </c>
      <c r="E104" s="585" t="s">
        <v>737</v>
      </c>
      <c r="F104" s="543" t="s">
        <v>81</v>
      </c>
      <c r="G104" s="585"/>
      <c r="H104" s="543" t="s">
        <v>749</v>
      </c>
      <c r="I104" s="543"/>
      <c r="J104" s="585"/>
      <c r="K104" s="543" t="s">
        <v>155</v>
      </c>
      <c r="L104" s="543">
        <f t="shared" si="19"/>
        <v>6</v>
      </c>
      <c r="M104" s="543" t="str">
        <f t="shared" si="12"/>
        <v>Same habitat required =</v>
      </c>
      <c r="N104" s="543" t="s">
        <v>155</v>
      </c>
      <c r="O104" s="543">
        <f t="shared" si="20"/>
        <v>0.33</v>
      </c>
      <c r="P104" s="543" t="s">
        <v>25</v>
      </c>
      <c r="Q104" s="543">
        <f t="shared" si="21"/>
        <v>0.67</v>
      </c>
      <c r="R104" s="519"/>
      <c r="S104" s="543"/>
    </row>
    <row r="105" spans="1:19">
      <c r="A105" s="220" t="s">
        <v>752</v>
      </c>
      <c r="B105" s="119" t="s">
        <v>753</v>
      </c>
      <c r="C105" s="570" t="s">
        <v>754</v>
      </c>
      <c r="D105" s="585" t="s">
        <v>732</v>
      </c>
      <c r="E105" s="585" t="s">
        <v>737</v>
      </c>
      <c r="F105" s="543" t="s">
        <v>81</v>
      </c>
      <c r="G105" s="585"/>
      <c r="H105" s="571" t="s">
        <v>755</v>
      </c>
      <c r="I105" s="543"/>
      <c r="J105" s="585"/>
      <c r="K105" s="543" t="s">
        <v>409</v>
      </c>
      <c r="L105" s="543">
        <f t="shared" si="19"/>
        <v>8</v>
      </c>
      <c r="M105" s="543" t="str">
        <f t="shared" si="12"/>
        <v>Bespoke compensation likely to be required 🛠</v>
      </c>
      <c r="N105" s="543" t="s">
        <v>153</v>
      </c>
      <c r="O105" s="543">
        <f t="shared" si="20"/>
        <v>0.1</v>
      </c>
      <c r="P105" s="543" t="s">
        <v>25</v>
      </c>
      <c r="Q105" s="543">
        <f t="shared" si="21"/>
        <v>0.67</v>
      </c>
      <c r="R105" s="519"/>
      <c r="S105" s="543"/>
    </row>
    <row r="106" spans="1:19">
      <c r="A106" s="215" t="s">
        <v>756</v>
      </c>
      <c r="B106" s="119" t="s">
        <v>757</v>
      </c>
      <c r="C106" s="570" t="s">
        <v>758</v>
      </c>
      <c r="D106" s="585" t="s">
        <v>732</v>
      </c>
      <c r="E106" s="585" t="s">
        <v>737</v>
      </c>
      <c r="F106" s="543" t="s">
        <v>81</v>
      </c>
      <c r="G106" s="585"/>
      <c r="H106" s="543" t="s">
        <v>756</v>
      </c>
      <c r="I106" s="543"/>
      <c r="J106" s="585"/>
      <c r="K106" s="543" t="s">
        <v>155</v>
      </c>
      <c r="L106" s="543">
        <f t="shared" si="19"/>
        <v>6</v>
      </c>
      <c r="M106" s="543" t="str">
        <f t="shared" si="12"/>
        <v>Same habitat required =</v>
      </c>
      <c r="N106" s="543" t="s">
        <v>155</v>
      </c>
      <c r="O106" s="543">
        <f t="shared" si="20"/>
        <v>0.33</v>
      </c>
      <c r="P106" s="543" t="s">
        <v>25</v>
      </c>
      <c r="Q106" s="543">
        <f t="shared" si="21"/>
        <v>0.67</v>
      </c>
      <c r="R106" s="519"/>
      <c r="S106" s="543"/>
    </row>
    <row r="107" spans="1:19" ht="14.45" thickBot="1">
      <c r="A107" s="220" t="s">
        <v>759</v>
      </c>
      <c r="B107" s="217" t="s">
        <v>760</v>
      </c>
      <c r="C107" s="577" t="s">
        <v>761</v>
      </c>
      <c r="D107" s="586" t="s">
        <v>732</v>
      </c>
      <c r="E107" s="586" t="s">
        <v>737</v>
      </c>
      <c r="F107" s="525" t="s">
        <v>81</v>
      </c>
      <c r="G107" s="586"/>
      <c r="H107" s="574" t="s">
        <v>762</v>
      </c>
      <c r="I107" s="525"/>
      <c r="J107" s="586"/>
      <c r="K107" s="525" t="s">
        <v>409</v>
      </c>
      <c r="L107" s="525">
        <f t="shared" si="19"/>
        <v>8</v>
      </c>
      <c r="M107" s="525" t="str">
        <f t="shared" si="12"/>
        <v>Bespoke compensation likely to be required 🛠</v>
      </c>
      <c r="N107" s="525" t="s">
        <v>153</v>
      </c>
      <c r="O107" s="525">
        <f t="shared" si="20"/>
        <v>0.1</v>
      </c>
      <c r="P107" s="525" t="s">
        <v>25</v>
      </c>
      <c r="Q107" s="525">
        <f t="shared" si="21"/>
        <v>0.67</v>
      </c>
      <c r="R107" s="507"/>
      <c r="S107" s="525"/>
    </row>
    <row r="108" spans="1:19">
      <c r="A108" s="215" t="s">
        <v>763</v>
      </c>
      <c r="B108" s="218" t="s">
        <v>764</v>
      </c>
      <c r="C108" s="583" t="s">
        <v>765</v>
      </c>
      <c r="D108" s="584" t="s">
        <v>732</v>
      </c>
      <c r="E108" s="584" t="s">
        <v>766</v>
      </c>
      <c r="F108" s="520" t="s">
        <v>80</v>
      </c>
      <c r="G108" s="584"/>
      <c r="H108" s="520" t="s">
        <v>767</v>
      </c>
      <c r="I108" s="520"/>
      <c r="J108" s="584"/>
      <c r="K108" s="520" t="s">
        <v>155</v>
      </c>
      <c r="L108" s="520">
        <f>IF(K108=$V$3,$W$3,IF(K108=$V$3,$W$3,IF(K108=$V$4,$W$4,IF(K108=$V$5,$W$5,IF(K108=$V$6,$W$6,IF(K108=$V$7,$W$7))))))</f>
        <v>6</v>
      </c>
      <c r="M108" s="520" t="str">
        <f>IF($K108=$V$3,$X$3,IF($K108=$V$4,$X$4,IF($K108=$V$5,$X$5,IF($K108=$V$6,$X$6,IF($K108=$V$7,$X$7)))))</f>
        <v>Same habitat required =</v>
      </c>
      <c r="N108" s="520" t="s">
        <v>155</v>
      </c>
      <c r="O108" s="520">
        <f>VLOOKUP(N108,Difficulty,2,FALSE)</f>
        <v>0.33</v>
      </c>
      <c r="P108" s="520" t="s">
        <v>25</v>
      </c>
      <c r="Q108" s="520">
        <f>VLOOKUP(P108,Difficulty,2,FALSE)</f>
        <v>0.67</v>
      </c>
      <c r="R108" s="506"/>
      <c r="S108" s="520"/>
    </row>
    <row r="109" spans="1:19" ht="14.45" thickBot="1">
      <c r="A109" s="215" t="s">
        <v>768</v>
      </c>
      <c r="B109" s="217" t="s">
        <v>769</v>
      </c>
      <c r="C109" s="577" t="s">
        <v>770</v>
      </c>
      <c r="D109" s="586"/>
      <c r="E109" s="586"/>
      <c r="F109" s="525" t="s">
        <v>80</v>
      </c>
      <c r="G109" s="586"/>
      <c r="H109" s="525" t="s">
        <v>768</v>
      </c>
      <c r="I109" s="525"/>
      <c r="J109" s="586"/>
      <c r="K109" s="525" t="s">
        <v>158</v>
      </c>
      <c r="L109" s="525">
        <f>IF(K109=$V$3,$W$3,IF(K109=$V$3,$W$3,IF(K109=$V$4,$W$4,IF(K109=$V$5,$W$5,IF(K109=$V$6,$W$6,IF(K109=$V$7,$W$7))))))</f>
        <v>2</v>
      </c>
      <c r="M109" s="525" t="str">
        <f>IF($K109=$V$3,$X$3,IF($K109=$V$4,$X$4,IF($K109=$V$5,$X$5,IF($K109=$V$6,$X$6,IF($K109=$V$7,$X$7)))))</f>
        <v>Same distinctiveness or better habitat required ≥</v>
      </c>
      <c r="N109" s="525" t="s">
        <v>155</v>
      </c>
      <c r="O109" s="525">
        <f>VLOOKUP(N109,Difficulty,2,FALSE)</f>
        <v>0.33</v>
      </c>
      <c r="P109" s="525" t="s">
        <v>25</v>
      </c>
      <c r="Q109" s="525">
        <f t="shared" ref="Q109" si="22">VLOOKUP(P109,Difficulty,2,FALSE)</f>
        <v>0.67</v>
      </c>
      <c r="R109" s="507"/>
      <c r="S109" s="525"/>
    </row>
    <row r="110" spans="1:19">
      <c r="A110" s="215" t="s">
        <v>771</v>
      </c>
      <c r="B110" s="218" t="s">
        <v>772</v>
      </c>
      <c r="C110" s="583" t="s">
        <v>773</v>
      </c>
      <c r="D110" s="584" t="s">
        <v>732</v>
      </c>
      <c r="E110" s="584" t="s">
        <v>766</v>
      </c>
      <c r="F110" s="520" t="s">
        <v>79</v>
      </c>
      <c r="G110" s="584"/>
      <c r="H110" s="520" t="s">
        <v>771</v>
      </c>
      <c r="I110" s="520"/>
      <c r="J110" s="584"/>
      <c r="K110" s="520" t="s">
        <v>25</v>
      </c>
      <c r="L110" s="520">
        <f t="shared" si="19"/>
        <v>4</v>
      </c>
      <c r="M110" s="520" t="str">
        <f t="shared" si="12"/>
        <v>Same broad habitat or a higher distinctiveness habitat required (≥)</v>
      </c>
      <c r="N110" s="520" t="s">
        <v>25</v>
      </c>
      <c r="O110" s="520">
        <f t="shared" si="20"/>
        <v>0.67</v>
      </c>
      <c r="P110" s="520" t="s">
        <v>25</v>
      </c>
      <c r="Q110" s="520">
        <f t="shared" si="21"/>
        <v>0.67</v>
      </c>
      <c r="R110" s="506"/>
      <c r="S110" s="520"/>
    </row>
    <row r="111" spans="1:19">
      <c r="A111" s="215" t="s">
        <v>774</v>
      </c>
      <c r="B111" s="119" t="s">
        <v>775</v>
      </c>
      <c r="C111" s="570" t="s">
        <v>776</v>
      </c>
      <c r="D111" s="585" t="s">
        <v>732</v>
      </c>
      <c r="E111" s="585" t="s">
        <v>766</v>
      </c>
      <c r="F111" s="543" t="s">
        <v>79</v>
      </c>
      <c r="G111" s="585"/>
      <c r="H111" s="543" t="s">
        <v>774</v>
      </c>
      <c r="I111" s="543"/>
      <c r="J111" s="585"/>
      <c r="K111" s="543" t="s">
        <v>155</v>
      </c>
      <c r="L111" s="543">
        <f t="shared" si="19"/>
        <v>6</v>
      </c>
      <c r="M111" s="543" t="str">
        <f t="shared" si="12"/>
        <v>Same habitat required =</v>
      </c>
      <c r="N111" s="543" t="s">
        <v>155</v>
      </c>
      <c r="O111" s="543">
        <f t="shared" si="20"/>
        <v>0.33</v>
      </c>
      <c r="P111" s="543" t="s">
        <v>25</v>
      </c>
      <c r="Q111" s="543">
        <f t="shared" si="21"/>
        <v>0.67</v>
      </c>
      <c r="R111" s="519"/>
      <c r="S111" s="543"/>
    </row>
    <row r="112" spans="1:19">
      <c r="A112" s="215" t="s">
        <v>777</v>
      </c>
      <c r="B112" s="119" t="s">
        <v>778</v>
      </c>
      <c r="C112" s="570" t="s">
        <v>779</v>
      </c>
      <c r="D112" s="585" t="s">
        <v>732</v>
      </c>
      <c r="E112" s="585" t="s">
        <v>766</v>
      </c>
      <c r="F112" s="543" t="s">
        <v>79</v>
      </c>
      <c r="G112" s="585"/>
      <c r="H112" s="543" t="s">
        <v>777</v>
      </c>
      <c r="I112" s="543"/>
      <c r="J112" s="585"/>
      <c r="K112" s="543" t="s">
        <v>155</v>
      </c>
      <c r="L112" s="543">
        <f t="shared" si="19"/>
        <v>6</v>
      </c>
      <c r="M112" s="543" t="str">
        <f t="shared" si="12"/>
        <v>Same habitat required =</v>
      </c>
      <c r="N112" s="543" t="s">
        <v>155</v>
      </c>
      <c r="O112" s="543">
        <f t="shared" si="20"/>
        <v>0.33</v>
      </c>
      <c r="P112" s="543" t="s">
        <v>25</v>
      </c>
      <c r="Q112" s="543">
        <f t="shared" si="21"/>
        <v>0.67</v>
      </c>
      <c r="R112" s="519"/>
      <c r="S112" s="543"/>
    </row>
    <row r="113" spans="1:19">
      <c r="A113" s="215" t="s">
        <v>780</v>
      </c>
      <c r="B113" s="119" t="s">
        <v>781</v>
      </c>
      <c r="C113" s="570" t="s">
        <v>782</v>
      </c>
      <c r="D113" s="585" t="s">
        <v>732</v>
      </c>
      <c r="E113" s="585" t="s">
        <v>766</v>
      </c>
      <c r="F113" s="543" t="s">
        <v>79</v>
      </c>
      <c r="G113" s="585"/>
      <c r="H113" s="543" t="s">
        <v>783</v>
      </c>
      <c r="I113" s="543"/>
      <c r="J113" s="585"/>
      <c r="K113" s="543" t="s">
        <v>155</v>
      </c>
      <c r="L113" s="543">
        <f t="shared" si="19"/>
        <v>6</v>
      </c>
      <c r="M113" s="543" t="str">
        <f t="shared" si="12"/>
        <v>Same habitat required =</v>
      </c>
      <c r="N113" s="543" t="s">
        <v>155</v>
      </c>
      <c r="O113" s="543">
        <f t="shared" si="20"/>
        <v>0.33</v>
      </c>
      <c r="P113" s="543" t="s">
        <v>155</v>
      </c>
      <c r="Q113" s="543">
        <f t="shared" si="21"/>
        <v>0.33</v>
      </c>
      <c r="R113" s="519"/>
      <c r="S113" s="543"/>
    </row>
    <row r="114" spans="1:19">
      <c r="A114" s="220" t="s">
        <v>784</v>
      </c>
      <c r="B114" s="119" t="s">
        <v>785</v>
      </c>
      <c r="C114" s="570" t="s">
        <v>786</v>
      </c>
      <c r="D114" s="585" t="s">
        <v>732</v>
      </c>
      <c r="E114" s="585" t="s">
        <v>766</v>
      </c>
      <c r="F114" s="543" t="s">
        <v>79</v>
      </c>
      <c r="G114" s="585"/>
      <c r="H114" s="571" t="s">
        <v>787</v>
      </c>
      <c r="I114" s="543"/>
      <c r="J114" s="585"/>
      <c r="K114" s="543" t="s">
        <v>409</v>
      </c>
      <c r="L114" s="543">
        <f t="shared" si="19"/>
        <v>8</v>
      </c>
      <c r="M114" s="543" t="str">
        <f t="shared" si="12"/>
        <v>Bespoke compensation likely to be required 🛠</v>
      </c>
      <c r="N114" s="543" t="s">
        <v>153</v>
      </c>
      <c r="O114" s="543">
        <f t="shared" si="20"/>
        <v>0.1</v>
      </c>
      <c r="P114" s="543" t="s">
        <v>155</v>
      </c>
      <c r="Q114" s="543">
        <f t="shared" si="21"/>
        <v>0.33</v>
      </c>
      <c r="R114" s="519"/>
      <c r="S114" s="543"/>
    </row>
    <row r="115" spans="1:19">
      <c r="A115" s="215" t="s">
        <v>788</v>
      </c>
      <c r="B115" s="119" t="s">
        <v>789</v>
      </c>
      <c r="C115" s="570" t="s">
        <v>790</v>
      </c>
      <c r="D115" s="585"/>
      <c r="E115" s="585"/>
      <c r="F115" s="543" t="s">
        <v>79</v>
      </c>
      <c r="G115" s="585"/>
      <c r="H115" s="543" t="s">
        <v>791</v>
      </c>
      <c r="I115" s="543"/>
      <c r="J115" s="585"/>
      <c r="K115" s="543" t="s">
        <v>155</v>
      </c>
      <c r="L115" s="543">
        <f t="shared" si="19"/>
        <v>6</v>
      </c>
      <c r="M115" s="543" t="str">
        <f t="shared" si="12"/>
        <v>Same habitat required =</v>
      </c>
      <c r="N115" s="543" t="s">
        <v>155</v>
      </c>
      <c r="O115" s="543">
        <f t="shared" si="20"/>
        <v>0.33</v>
      </c>
      <c r="P115" s="543" t="s">
        <v>25</v>
      </c>
      <c r="Q115" s="543">
        <f t="shared" si="21"/>
        <v>0.67</v>
      </c>
      <c r="R115" s="519"/>
      <c r="S115" s="543"/>
    </row>
    <row r="116" spans="1:19">
      <c r="A116" s="215" t="s">
        <v>792</v>
      </c>
      <c r="B116" s="119" t="s">
        <v>793</v>
      </c>
      <c r="C116" s="570" t="s">
        <v>794</v>
      </c>
      <c r="D116" s="585" t="s">
        <v>732</v>
      </c>
      <c r="E116" s="585" t="s">
        <v>766</v>
      </c>
      <c r="F116" s="543" t="s">
        <v>79</v>
      </c>
      <c r="G116" s="585"/>
      <c r="H116" s="543" t="s">
        <v>792</v>
      </c>
      <c r="I116" s="543"/>
      <c r="J116" s="585"/>
      <c r="K116" s="543" t="s">
        <v>155</v>
      </c>
      <c r="L116" s="543">
        <f t="shared" si="19"/>
        <v>6</v>
      </c>
      <c r="M116" s="543" t="str">
        <f t="shared" si="12"/>
        <v>Same habitat required =</v>
      </c>
      <c r="N116" s="543" t="s">
        <v>155</v>
      </c>
      <c r="O116" s="543">
        <f t="shared" si="20"/>
        <v>0.33</v>
      </c>
      <c r="P116" s="543" t="s">
        <v>25</v>
      </c>
      <c r="Q116" s="543">
        <f t="shared" si="21"/>
        <v>0.67</v>
      </c>
      <c r="R116" s="519"/>
      <c r="S116" s="543"/>
    </row>
    <row r="117" spans="1:19">
      <c r="A117" s="215" t="s">
        <v>795</v>
      </c>
      <c r="B117" s="119" t="s">
        <v>796</v>
      </c>
      <c r="C117" s="570" t="s">
        <v>797</v>
      </c>
      <c r="D117" s="585" t="s">
        <v>732</v>
      </c>
      <c r="E117" s="585" t="s">
        <v>766</v>
      </c>
      <c r="F117" s="543" t="s">
        <v>79</v>
      </c>
      <c r="G117" s="585"/>
      <c r="H117" s="543" t="s">
        <v>795</v>
      </c>
      <c r="I117" s="543"/>
      <c r="J117" s="585"/>
      <c r="K117" s="543" t="s">
        <v>155</v>
      </c>
      <c r="L117" s="543">
        <f t="shared" si="19"/>
        <v>6</v>
      </c>
      <c r="M117" s="543" t="str">
        <f t="shared" si="12"/>
        <v>Same habitat required =</v>
      </c>
      <c r="N117" s="543" t="s">
        <v>155</v>
      </c>
      <c r="O117" s="543">
        <f t="shared" si="20"/>
        <v>0.33</v>
      </c>
      <c r="P117" s="543" t="s">
        <v>25</v>
      </c>
      <c r="Q117" s="543">
        <f t="shared" si="21"/>
        <v>0.67</v>
      </c>
      <c r="R117" s="519"/>
      <c r="S117" s="543"/>
    </row>
    <row r="118" spans="1:19">
      <c r="A118" s="215" t="s">
        <v>798</v>
      </c>
      <c r="B118" s="119" t="s">
        <v>799</v>
      </c>
      <c r="C118" s="570" t="s">
        <v>800</v>
      </c>
      <c r="D118" s="585" t="s">
        <v>732</v>
      </c>
      <c r="E118" s="585" t="s">
        <v>766</v>
      </c>
      <c r="F118" s="543" t="s">
        <v>79</v>
      </c>
      <c r="G118" s="585"/>
      <c r="H118" s="543" t="s">
        <v>798</v>
      </c>
      <c r="I118" s="543"/>
      <c r="J118" s="585"/>
      <c r="K118" s="543" t="s">
        <v>158</v>
      </c>
      <c r="L118" s="543">
        <f t="shared" si="19"/>
        <v>2</v>
      </c>
      <c r="M118" s="543" t="str">
        <f t="shared" si="12"/>
        <v>Same distinctiveness or better habitat required ≥</v>
      </c>
      <c r="N118" s="543" t="s">
        <v>25</v>
      </c>
      <c r="O118" s="543">
        <f t="shared" si="20"/>
        <v>0.67</v>
      </c>
      <c r="P118" s="543" t="s">
        <v>25</v>
      </c>
      <c r="Q118" s="543">
        <f t="shared" si="21"/>
        <v>0.67</v>
      </c>
      <c r="R118" s="519"/>
      <c r="S118" s="543"/>
    </row>
    <row r="119" spans="1:19">
      <c r="A119" s="215" t="s">
        <v>801</v>
      </c>
      <c r="B119" s="119" t="s">
        <v>802</v>
      </c>
      <c r="C119" s="570" t="s">
        <v>803</v>
      </c>
      <c r="D119" s="585"/>
      <c r="E119" s="585"/>
      <c r="F119" s="543" t="s">
        <v>79</v>
      </c>
      <c r="G119" s="585"/>
      <c r="H119" s="543" t="s">
        <v>801</v>
      </c>
      <c r="I119" s="543"/>
      <c r="J119" s="585"/>
      <c r="K119" s="543" t="s">
        <v>158</v>
      </c>
      <c r="L119" s="543">
        <f t="shared" si="19"/>
        <v>2</v>
      </c>
      <c r="M119" s="543" t="str">
        <f t="shared" si="12"/>
        <v>Same distinctiveness or better habitat required ≥</v>
      </c>
      <c r="N119" s="543" t="s">
        <v>155</v>
      </c>
      <c r="O119" s="543">
        <f t="shared" si="20"/>
        <v>0.33</v>
      </c>
      <c r="P119" s="543" t="s">
        <v>25</v>
      </c>
      <c r="Q119" s="543">
        <f t="shared" si="21"/>
        <v>0.67</v>
      </c>
      <c r="R119" s="519"/>
      <c r="S119" s="543"/>
    </row>
    <row r="120" spans="1:19">
      <c r="A120" s="215" t="s">
        <v>804</v>
      </c>
      <c r="B120" s="119" t="s">
        <v>805</v>
      </c>
      <c r="C120" s="570" t="s">
        <v>806</v>
      </c>
      <c r="D120" s="585"/>
      <c r="E120" s="585"/>
      <c r="F120" s="543" t="s">
        <v>79</v>
      </c>
      <c r="G120" s="585"/>
      <c r="H120" s="573" t="s">
        <v>804</v>
      </c>
      <c r="I120" s="543"/>
      <c r="J120" s="585"/>
      <c r="K120" s="543" t="s">
        <v>158</v>
      </c>
      <c r="L120" s="543">
        <f t="shared" si="19"/>
        <v>2</v>
      </c>
      <c r="M120" s="543" t="str">
        <f t="shared" si="12"/>
        <v>Same distinctiveness or better habitat required ≥</v>
      </c>
      <c r="N120" s="543" t="s">
        <v>25</v>
      </c>
      <c r="O120" s="543">
        <f t="shared" si="20"/>
        <v>0.67</v>
      </c>
      <c r="P120" s="543" t="s">
        <v>25</v>
      </c>
      <c r="Q120" s="543">
        <f t="shared" si="21"/>
        <v>0.67</v>
      </c>
      <c r="R120" s="519"/>
      <c r="S120" s="543"/>
    </row>
    <row r="121" spans="1:19">
      <c r="A121" s="215" t="s">
        <v>807</v>
      </c>
      <c r="B121" s="119" t="s">
        <v>808</v>
      </c>
      <c r="C121" s="570" t="s">
        <v>809</v>
      </c>
      <c r="D121" s="585" t="s">
        <v>732</v>
      </c>
      <c r="E121" s="585" t="s">
        <v>766</v>
      </c>
      <c r="F121" s="543" t="s">
        <v>79</v>
      </c>
      <c r="G121" s="585"/>
      <c r="H121" s="543" t="s">
        <v>801</v>
      </c>
      <c r="I121" s="543"/>
      <c r="J121" s="585"/>
      <c r="K121" s="543" t="s">
        <v>158</v>
      </c>
      <c r="L121" s="543">
        <f t="shared" si="19"/>
        <v>2</v>
      </c>
      <c r="M121" s="543" t="str">
        <f t="shared" si="12"/>
        <v>Same distinctiveness or better habitat required ≥</v>
      </c>
      <c r="N121" s="543" t="s">
        <v>155</v>
      </c>
      <c r="O121" s="543">
        <f t="shared" si="20"/>
        <v>0.33</v>
      </c>
      <c r="P121" s="543" t="s">
        <v>25</v>
      </c>
      <c r="Q121" s="543">
        <f t="shared" si="21"/>
        <v>0.67</v>
      </c>
      <c r="R121" s="519"/>
      <c r="S121" s="543"/>
    </row>
    <row r="122" spans="1:19">
      <c r="A122" s="215" t="s">
        <v>810</v>
      </c>
      <c r="B122" s="119" t="s">
        <v>811</v>
      </c>
      <c r="C122" s="570" t="s">
        <v>812</v>
      </c>
      <c r="D122" s="585" t="s">
        <v>732</v>
      </c>
      <c r="E122" s="585" t="s">
        <v>766</v>
      </c>
      <c r="F122" s="543" t="s">
        <v>79</v>
      </c>
      <c r="G122" s="585"/>
      <c r="H122" s="543" t="s">
        <v>810</v>
      </c>
      <c r="I122" s="543"/>
      <c r="J122" s="585"/>
      <c r="K122" s="543" t="s">
        <v>158</v>
      </c>
      <c r="L122" s="543">
        <f t="shared" si="19"/>
        <v>2</v>
      </c>
      <c r="M122" s="543" t="str">
        <f t="shared" si="12"/>
        <v>Same distinctiveness or better habitat required ≥</v>
      </c>
      <c r="N122" s="543" t="s">
        <v>155</v>
      </c>
      <c r="O122" s="543">
        <f t="shared" si="20"/>
        <v>0.33</v>
      </c>
      <c r="P122" s="543" t="s">
        <v>25</v>
      </c>
      <c r="Q122" s="543">
        <f t="shared" si="21"/>
        <v>0.67</v>
      </c>
      <c r="R122" s="519"/>
      <c r="S122" s="543"/>
    </row>
    <row r="123" spans="1:19">
      <c r="A123" s="215" t="s">
        <v>813</v>
      </c>
      <c r="B123" s="119" t="s">
        <v>814</v>
      </c>
      <c r="C123" s="570" t="s">
        <v>815</v>
      </c>
      <c r="D123" s="585" t="s">
        <v>732</v>
      </c>
      <c r="E123" s="585" t="s">
        <v>766</v>
      </c>
      <c r="F123" s="543" t="s">
        <v>79</v>
      </c>
      <c r="G123" s="585"/>
      <c r="H123" s="543" t="s">
        <v>813</v>
      </c>
      <c r="I123" s="543"/>
      <c r="J123" s="585"/>
      <c r="K123" s="543" t="s">
        <v>158</v>
      </c>
      <c r="L123" s="543">
        <f t="shared" si="19"/>
        <v>2</v>
      </c>
      <c r="M123" s="543" t="str">
        <f t="shared" si="12"/>
        <v>Same distinctiveness or better habitat required ≥</v>
      </c>
      <c r="N123" s="543" t="s">
        <v>155</v>
      </c>
      <c r="O123" s="543">
        <f t="shared" si="20"/>
        <v>0.33</v>
      </c>
      <c r="P123" s="543" t="s">
        <v>155</v>
      </c>
      <c r="Q123" s="543">
        <f t="shared" si="21"/>
        <v>0.33</v>
      </c>
      <c r="R123" s="519"/>
      <c r="S123" s="543"/>
    </row>
    <row r="124" spans="1:19">
      <c r="A124" s="215" t="s">
        <v>816</v>
      </c>
      <c r="B124" s="119" t="s">
        <v>817</v>
      </c>
      <c r="C124" s="570" t="s">
        <v>818</v>
      </c>
      <c r="D124" s="585" t="s">
        <v>732</v>
      </c>
      <c r="E124" s="585" t="s">
        <v>766</v>
      </c>
      <c r="F124" s="543" t="s">
        <v>79</v>
      </c>
      <c r="G124" s="585"/>
      <c r="H124" s="543" t="s">
        <v>816</v>
      </c>
      <c r="I124" s="543"/>
      <c r="J124" s="585"/>
      <c r="K124" s="543" t="s">
        <v>158</v>
      </c>
      <c r="L124" s="543">
        <f t="shared" si="19"/>
        <v>2</v>
      </c>
      <c r="M124" s="543" t="str">
        <f t="shared" si="12"/>
        <v>Same distinctiveness or better habitat required ≥</v>
      </c>
      <c r="N124" s="543" t="s">
        <v>155</v>
      </c>
      <c r="O124" s="543">
        <f t="shared" si="20"/>
        <v>0.33</v>
      </c>
      <c r="P124" s="543" t="s">
        <v>25</v>
      </c>
      <c r="Q124" s="543">
        <f t="shared" si="21"/>
        <v>0.67</v>
      </c>
      <c r="R124" s="519"/>
      <c r="S124" s="543"/>
    </row>
    <row r="125" spans="1:19">
      <c r="A125" s="156" t="s">
        <v>819</v>
      </c>
      <c r="B125" s="105" t="s">
        <v>820</v>
      </c>
      <c r="C125" s="570" t="s">
        <v>821</v>
      </c>
      <c r="D125" s="585" t="s">
        <v>732</v>
      </c>
      <c r="E125" s="585"/>
      <c r="F125" s="543" t="s">
        <v>79</v>
      </c>
      <c r="G125" s="585"/>
      <c r="H125" s="587" t="s">
        <v>819</v>
      </c>
      <c r="I125" s="543"/>
      <c r="J125" s="585"/>
      <c r="K125" s="543" t="s">
        <v>25</v>
      </c>
      <c r="L125" s="543">
        <f t="shared" ref="L125" si="23">IF(K125=$V$3,$W$3,IF(K125=$V$3,$W$3,IF(K125=$V$4,$W$4,IF(K125=$V$5,$W$5,IF(K125=$V$6,$W$6,IF(K125=$V$7,$W$7))))))</f>
        <v>4</v>
      </c>
      <c r="M125" s="543" t="str">
        <f t="shared" si="12"/>
        <v>Same broad habitat or a higher distinctiveness habitat required (≥)</v>
      </c>
      <c r="N125" s="543" t="s">
        <v>25</v>
      </c>
      <c r="O125" s="543">
        <f t="shared" ref="O125" si="24">VLOOKUP(N125,Difficulty,2,FALSE)</f>
        <v>0.67</v>
      </c>
      <c r="P125" s="543" t="s">
        <v>25</v>
      </c>
      <c r="Q125" s="543">
        <f t="shared" ref="Q125" si="25">VLOOKUP(P125,Difficulty,2,FALSE)</f>
        <v>0.67</v>
      </c>
      <c r="R125" s="519"/>
      <c r="S125" s="543"/>
    </row>
    <row r="126" spans="1:19" ht="14.45" thickBot="1">
      <c r="A126" s="156" t="s">
        <v>822</v>
      </c>
      <c r="B126" s="221" t="s">
        <v>823</v>
      </c>
      <c r="C126" s="577" t="s">
        <v>824</v>
      </c>
      <c r="D126" s="586" t="s">
        <v>732</v>
      </c>
      <c r="E126" s="586"/>
      <c r="F126" s="525" t="s">
        <v>79</v>
      </c>
      <c r="G126" s="586"/>
      <c r="H126" s="588" t="s">
        <v>822</v>
      </c>
      <c r="I126" s="525"/>
      <c r="J126" s="586"/>
      <c r="K126" s="525" t="s">
        <v>155</v>
      </c>
      <c r="L126" s="525">
        <f t="shared" ref="L126" si="26">IF(K126=$V$3,$W$3,IF(K126=$V$3,$W$3,IF(K126=$V$4,$W$4,IF(K126=$V$5,$W$5,IF(K126=$V$6,$W$6,IF(K126=$V$7,$W$7))))))</f>
        <v>6</v>
      </c>
      <c r="M126" s="525" t="str">
        <f t="shared" si="12"/>
        <v>Same habitat required =</v>
      </c>
      <c r="N126" s="525" t="s">
        <v>155</v>
      </c>
      <c r="O126" s="525">
        <f t="shared" ref="O126" si="27">VLOOKUP(N126,Difficulty,2,FALSE)</f>
        <v>0.33</v>
      </c>
      <c r="P126" s="525" t="s">
        <v>25</v>
      </c>
      <c r="Q126" s="525">
        <f t="shared" ref="Q126" si="28">VLOOKUP(P126,Difficulty,2,FALSE)</f>
        <v>0.67</v>
      </c>
      <c r="R126" s="507"/>
      <c r="S126" s="525"/>
    </row>
    <row r="127" spans="1:19" ht="14.25" customHeight="1">
      <c r="A127" s="156" t="s">
        <v>825</v>
      </c>
      <c r="B127" s="222" t="s">
        <v>826</v>
      </c>
      <c r="C127" s="583" t="s">
        <v>827</v>
      </c>
      <c r="D127" s="584" t="s">
        <v>732</v>
      </c>
      <c r="E127" s="584"/>
      <c r="F127" s="520" t="s">
        <v>83</v>
      </c>
      <c r="G127" s="584"/>
      <c r="H127" s="589" t="s">
        <v>825</v>
      </c>
      <c r="I127" s="520"/>
      <c r="J127" s="584"/>
      <c r="K127" s="520" t="s">
        <v>158</v>
      </c>
      <c r="L127" s="520">
        <f t="shared" ref="L127" si="29">IF(K127=$V$3,$W$3,IF(K127=$V$3,$W$3,IF(K127=$V$4,$W$4,IF(K127=$V$5,$W$5,IF(K127=$V$6,$W$6,IF(K127=$V$7,$W$7))))))</f>
        <v>2</v>
      </c>
      <c r="M127" s="520" t="str">
        <f t="shared" ref="M127:M128" si="30">IF($K127=$V$3,$X$3,IF($K127=$V$4,$X$4,IF($K127=$V$5,$X$5,IF($K127=$V$6,$X$6,IF($K127=$V$7,$X$7)))))</f>
        <v>Same distinctiveness or better habitat required ≥</v>
      </c>
      <c r="N127" s="520" t="s">
        <v>25</v>
      </c>
      <c r="O127" s="520">
        <f t="shared" ref="O127:O129" si="31">VLOOKUP(N127,Difficulty,2,FALSE)</f>
        <v>0.67</v>
      </c>
      <c r="P127" s="520" t="s">
        <v>25</v>
      </c>
      <c r="Q127" s="520">
        <f t="shared" ref="Q127:Q129" si="32">VLOOKUP(P127,Difficulty,2,FALSE)</f>
        <v>0.67</v>
      </c>
      <c r="R127" s="506"/>
      <c r="S127" s="520"/>
    </row>
    <row r="128" spans="1:19">
      <c r="A128" s="156" t="s">
        <v>828</v>
      </c>
      <c r="B128" s="105" t="s">
        <v>829</v>
      </c>
      <c r="C128" s="570" t="s">
        <v>830</v>
      </c>
      <c r="D128" s="585" t="s">
        <v>732</v>
      </c>
      <c r="E128" s="585"/>
      <c r="F128" s="520" t="s">
        <v>83</v>
      </c>
      <c r="G128" s="585"/>
      <c r="H128" s="587" t="s">
        <v>828</v>
      </c>
      <c r="I128" s="543"/>
      <c r="J128" s="585"/>
      <c r="K128" s="520" t="s">
        <v>158</v>
      </c>
      <c r="L128" s="543">
        <f t="shared" ref="L128" si="33">IF(K128=$V$3,$W$3,IF(K128=$V$3,$W$3,IF(K128=$V$4,$W$4,IF(K128=$V$5,$W$5,IF(K128=$V$6,$W$6,IF(K128=$V$7,$W$7))))))</f>
        <v>2</v>
      </c>
      <c r="M128" s="543" t="str">
        <f t="shared" si="30"/>
        <v>Same distinctiveness or better habitat required ≥</v>
      </c>
      <c r="N128" s="543" t="s">
        <v>25</v>
      </c>
      <c r="O128" s="543">
        <f t="shared" si="31"/>
        <v>0.67</v>
      </c>
      <c r="P128" s="543" t="s">
        <v>25</v>
      </c>
      <c r="Q128" s="543">
        <f t="shared" si="32"/>
        <v>0.67</v>
      </c>
      <c r="R128" s="519"/>
      <c r="S128" s="543"/>
    </row>
    <row r="129" spans="1:19" ht="27.6">
      <c r="A129" s="156" t="s">
        <v>831</v>
      </c>
      <c r="B129" s="105" t="s">
        <v>832</v>
      </c>
      <c r="C129" s="570" t="s">
        <v>833</v>
      </c>
      <c r="D129" s="585" t="s">
        <v>732</v>
      </c>
      <c r="E129" s="585"/>
      <c r="F129" s="520" t="s">
        <v>83</v>
      </c>
      <c r="G129" s="585"/>
      <c r="H129" s="587" t="s">
        <v>831</v>
      </c>
      <c r="I129" s="543"/>
      <c r="J129" s="585"/>
      <c r="K129" s="543" t="s">
        <v>25</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25</v>
      </c>
      <c r="O129" s="543">
        <f t="shared" si="31"/>
        <v>0.67</v>
      </c>
      <c r="P129" s="543" t="s">
        <v>25</v>
      </c>
      <c r="Q129" s="543">
        <f t="shared" si="32"/>
        <v>0.67</v>
      </c>
      <c r="R129" s="519"/>
      <c r="S129" s="543"/>
    </row>
    <row r="130" spans="1:19"/>
    <row r="131" spans="1:19"/>
    <row r="132" spans="1:19"/>
    <row r="133" spans="1:19"/>
    <row r="134" spans="1:19"/>
    <row r="135" spans="1:19"/>
    <row r="136" spans="1:19"/>
    <row r="137" spans="1:19"/>
    <row r="138" spans="1:19"/>
    <row r="139" spans="1:19"/>
    <row r="140" spans="1:19"/>
    <row r="144" spans="1:19"/>
    <row r="148"/>
    <row r="149"/>
    <row r="150"/>
    <row r="151"/>
    <row r="152"/>
    <row r="153"/>
    <row r="154"/>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3.9"/>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c r="A1" s="1044" t="s">
        <v>834</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835</v>
      </c>
      <c r="AK1" s="1042"/>
      <c r="AL1" s="1042"/>
      <c r="AM1" s="1042"/>
      <c r="AN1" s="1042"/>
      <c r="AO1" s="1042"/>
      <c r="AP1" s="1043"/>
      <c r="AU1" s="1041" t="s">
        <v>836</v>
      </c>
      <c r="AV1" s="1042"/>
      <c r="AW1" s="1042"/>
      <c r="AX1" s="1042"/>
      <c r="AY1" s="1042"/>
      <c r="AZ1" s="1042"/>
      <c r="BA1" s="1042"/>
      <c r="BB1" s="1042"/>
      <c r="BC1" s="1042"/>
      <c r="BD1" s="1042"/>
      <c r="BE1" s="1042"/>
      <c r="BF1" s="1042"/>
      <c r="BG1" s="1043"/>
    </row>
    <row r="2" spans="1:59" ht="22.9">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c r="A3" s="103" t="s">
        <v>837</v>
      </c>
      <c r="B3" s="103" t="s">
        <v>162</v>
      </c>
      <c r="C3" s="103" t="s">
        <v>191</v>
      </c>
      <c r="D3" s="103" t="s">
        <v>838</v>
      </c>
      <c r="E3" s="103" t="s">
        <v>839</v>
      </c>
      <c r="F3" s="103" t="s">
        <v>840</v>
      </c>
      <c r="G3" s="103" t="s">
        <v>841</v>
      </c>
      <c r="H3" s="103" t="s">
        <v>842</v>
      </c>
      <c r="I3" s="103" t="s">
        <v>843</v>
      </c>
      <c r="J3" s="103" t="s">
        <v>844</v>
      </c>
      <c r="K3" s="103" t="s">
        <v>845</v>
      </c>
      <c r="L3" s="103" t="s">
        <v>846</v>
      </c>
      <c r="M3" s="103" t="s">
        <v>847</v>
      </c>
      <c r="N3" s="103" t="s">
        <v>848</v>
      </c>
      <c r="O3" s="103" t="s">
        <v>849</v>
      </c>
      <c r="P3" s="103" t="s">
        <v>850</v>
      </c>
      <c r="Q3" s="103" t="s">
        <v>851</v>
      </c>
      <c r="R3" s="103" t="s">
        <v>852</v>
      </c>
      <c r="S3" s="103" t="s">
        <v>853</v>
      </c>
      <c r="T3" s="103" t="s">
        <v>854</v>
      </c>
      <c r="U3" s="103" t="s">
        <v>855</v>
      </c>
      <c r="V3" s="103" t="s">
        <v>856</v>
      </c>
      <c r="W3" s="103" t="s">
        <v>857</v>
      </c>
      <c r="X3" s="103" t="s">
        <v>858</v>
      </c>
      <c r="Y3" s="103" t="s">
        <v>859</v>
      </c>
      <c r="Z3" s="103" t="s">
        <v>860</v>
      </c>
      <c r="AA3" s="103" t="s">
        <v>861</v>
      </c>
      <c r="AB3" s="103" t="s">
        <v>862</v>
      </c>
      <c r="AC3" s="103" t="s">
        <v>863</v>
      </c>
      <c r="AD3" s="103" t="s">
        <v>864</v>
      </c>
      <c r="AE3" s="103" t="s">
        <v>865</v>
      </c>
      <c r="AF3" s="103" t="s">
        <v>866</v>
      </c>
      <c r="AJ3" s="125" t="s">
        <v>867</v>
      </c>
      <c r="AK3" s="127" t="s">
        <v>868</v>
      </c>
      <c r="AL3" s="127" t="s">
        <v>869</v>
      </c>
      <c r="AM3" s="127" t="s">
        <v>870</v>
      </c>
      <c r="AN3" s="127" t="s">
        <v>871</v>
      </c>
      <c r="AO3" s="127" t="s">
        <v>872</v>
      </c>
      <c r="AP3" s="127" t="s">
        <v>163</v>
      </c>
      <c r="AU3" s="114" t="s">
        <v>153</v>
      </c>
      <c r="AV3" s="115"/>
      <c r="AW3" s="116"/>
      <c r="AX3" s="116"/>
      <c r="AY3" s="116"/>
      <c r="AZ3" s="116"/>
      <c r="BA3" s="116"/>
      <c r="BB3" s="116"/>
      <c r="BC3" s="116"/>
      <c r="BD3" s="116"/>
      <c r="BE3" s="116"/>
      <c r="BF3" s="116"/>
      <c r="BG3" s="116"/>
    </row>
    <row r="4" spans="1:59" ht="31.1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71</v>
      </c>
      <c r="AK4" s="112">
        <f t="shared" ref="AK4:AK16" si="10">SUMIF($B:$B,$AJ4,E:E)</f>
        <v>40.47</v>
      </c>
      <c r="AL4" s="112">
        <f t="shared" ref="AL4:AL16" si="11">SUMIF($B:$B,$AJ4,F:F)</f>
        <v>86.867999999999995</v>
      </c>
      <c r="AM4" s="112">
        <f t="shared" ref="AM4:AM16" si="12">SUMIF($B:$B,$AJ4,O:O)</f>
        <v>7.7360000000000007</v>
      </c>
      <c r="AN4" s="112">
        <f t="shared" ref="AN4:AN16" si="13">SUMIF($B:$B,$AJ4,P:P)</f>
        <v>15.8704</v>
      </c>
      <c r="AO4" s="111">
        <f t="shared" ref="AO4:AO16" si="14">SUMIF($B:$B,$AJ4,Q:Q)</f>
        <v>-32.734000000000002</v>
      </c>
      <c r="AP4" s="111">
        <f t="shared" ref="AP4:AP16" si="15">SUMIF($B:$B,$AJ4,R:R)</f>
        <v>-70.997600000000006</v>
      </c>
      <c r="AU4" s="123" t="s">
        <v>175</v>
      </c>
      <c r="AV4" s="127" t="s">
        <v>162</v>
      </c>
      <c r="AW4" s="127" t="s">
        <v>868</v>
      </c>
      <c r="AX4" s="127" t="s">
        <v>873</v>
      </c>
      <c r="AY4" s="127" t="s">
        <v>870</v>
      </c>
      <c r="AZ4" s="127" t="s">
        <v>871</v>
      </c>
      <c r="BA4" s="127" t="s">
        <v>872</v>
      </c>
      <c r="BB4" s="127" t="s">
        <v>163</v>
      </c>
      <c r="BC4" s="127" t="s">
        <v>874</v>
      </c>
      <c r="BD4" s="127" t="s">
        <v>875</v>
      </c>
      <c r="BE4" s="127" t="s">
        <v>876</v>
      </c>
      <c r="BF4" s="127" t="s">
        <v>877</v>
      </c>
      <c r="BG4" s="127" t="s">
        <v>878</v>
      </c>
    </row>
    <row r="5" spans="1:59" ht="14.45" customHeight="1">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72</v>
      </c>
      <c r="AK5" s="100">
        <f t="shared" si="10"/>
        <v>2.88</v>
      </c>
      <c r="AL5" s="100">
        <f t="shared" si="11"/>
        <v>5.76</v>
      </c>
      <c r="AM5" s="100">
        <f t="shared" si="12"/>
        <v>32.301000000000002</v>
      </c>
      <c r="AN5" s="100">
        <f t="shared" si="13"/>
        <v>102.94539058250092</v>
      </c>
      <c r="AO5" s="111">
        <f t="shared" si="14"/>
        <v>29.420999999999996</v>
      </c>
      <c r="AP5" s="111">
        <f t="shared" si="15"/>
        <v>97.185390582500929</v>
      </c>
      <c r="AU5" s="119" t="s">
        <v>466</v>
      </c>
      <c r="AV5" s="88" t="s">
        <v>72</v>
      </c>
      <c r="AW5" s="493">
        <f t="shared" ref="AW5:AW8" si="16">VLOOKUP($AU5,AllHabsSummaryData,5,FALSE)</f>
        <v>0</v>
      </c>
      <c r="AX5" s="493">
        <f t="shared" ref="AX5:AX8" si="17">VLOOKUP($AU5,AllHabsSummaryData,10,FALSE)</f>
        <v>0</v>
      </c>
      <c r="AY5" s="493">
        <f t="shared" ref="AY5:AY8" si="18">VLOOKUP($AU5,AllHabsSummaryData,15,FALSE)</f>
        <v>7.47</v>
      </c>
      <c r="AZ5" s="493">
        <f t="shared" ref="AZ5:AZ8" si="19">VLOOKUP($AU5,AllHabsSummaryData,16,FALSE)</f>
        <v>20.811936661826905</v>
      </c>
      <c r="BA5" s="493">
        <f t="shared" ref="BA5:BA8" si="20">VLOOKUP($AU5,AllHabsSummaryData,17,FALSE)</f>
        <v>7.47</v>
      </c>
      <c r="BB5" s="493">
        <f t="shared" ref="BB5:BB8" si="21">VLOOKUP($AU5,AllHabsSummaryData,18,FALSE)</f>
        <v>20.811936661826905</v>
      </c>
      <c r="BC5" s="493">
        <f t="shared" ref="BC5:BC8" si="22">VLOOKUP($AU5,AllHabsSummaryData,27,FALSE)</f>
        <v>0</v>
      </c>
      <c r="BD5" s="493">
        <f t="shared" ref="BD5:BD8" si="23">VLOOKUP($AU5,AllHabsSummaryData,30,FALSE)</f>
        <v>0</v>
      </c>
      <c r="BE5" s="493">
        <f t="shared" ref="BE5:BE8" si="24">BB5+BD5</f>
        <v>20.811936661826905</v>
      </c>
      <c r="BF5" s="493" t="str">
        <f t="shared" ref="BF5:BF8" si="25">IF(BE5&lt;0,BE5,"")</f>
        <v/>
      </c>
      <c r="BG5" s="493">
        <f>VLOOKUP($AU5,AllHabsSummaryData,9,FALSE)</f>
        <v>0</v>
      </c>
    </row>
    <row r="6" spans="1:59" ht="14.45" customHeight="1">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73</v>
      </c>
      <c r="AK6" s="100">
        <f t="shared" si="10"/>
        <v>0.2</v>
      </c>
      <c r="AL6" s="100">
        <f t="shared" si="11"/>
        <v>0.8</v>
      </c>
      <c r="AM6" s="100">
        <f t="shared" si="12"/>
        <v>0</v>
      </c>
      <c r="AN6" s="100">
        <f t="shared" si="13"/>
        <v>0</v>
      </c>
      <c r="AO6" s="111">
        <f t="shared" si="14"/>
        <v>-0.2</v>
      </c>
      <c r="AP6" s="111">
        <f t="shared" si="15"/>
        <v>-0.8</v>
      </c>
      <c r="AU6" s="119" t="s">
        <v>471</v>
      </c>
      <c r="AV6" s="88" t="s">
        <v>72</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2.4700000000000002</v>
      </c>
      <c r="F7" s="493">
        <f>SUMIF('A-1 Site Habitat Baseline'!$G$11:$G$258,'G-2 Habitat groups'!A7,'A-1 Site Habitat Baseline'!$Q$11:$Q$258)</f>
        <v>10.868000000000002</v>
      </c>
      <c r="G7" s="493">
        <f>SUMIF('A-1 Site Habitat Baseline'!$G$11:$G$258,'G-2 Habitat groups'!A7,'A-1 Site Habitat Baseline'!$S$11:$S$258)</f>
        <v>0.16600000000000001</v>
      </c>
      <c r="H7" s="493">
        <f>SUMIF('A-1 Site Habitat Baseline'!$G$11:$G$258,'G-2 Habitat groups'!A7,'A-1 Site Habitat Baseline'!$U$11:$U$258)</f>
        <v>0.73040000000000005</v>
      </c>
      <c r="I7" s="493">
        <f>SUMIF('A-1 Site Habitat Baseline'!$G$11:$G$258,'G-2 Habitat groups'!A7,'A-1 Site Habitat Baseline'!$W$11:$W$258)</f>
        <v>2.3040000000000003</v>
      </c>
      <c r="J7" s="493">
        <f>SUMIF('A-1 Site Habitat Baseline'!$G$11:$G$258,'G-2 Habitat groups'!A7,'A-1 Site Habitat Baseline'!$X$11:$X$258)</f>
        <v>10.137600000000003</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0.16600000000000001</v>
      </c>
      <c r="P7" s="493">
        <f t="shared" si="1"/>
        <v>0.73040000000000005</v>
      </c>
      <c r="Q7" s="493">
        <f t="shared" si="2"/>
        <v>-2.3040000000000003</v>
      </c>
      <c r="R7" s="493">
        <f t="shared" si="3"/>
        <v>-10.137600000000003</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-2.3040000000000003</v>
      </c>
      <c r="AF7" s="493">
        <f t="shared" si="9"/>
        <v>-10.137600000000003</v>
      </c>
      <c r="AJ7" s="107" t="s">
        <v>74</v>
      </c>
      <c r="AK7" s="100">
        <f t="shared" si="10"/>
        <v>0</v>
      </c>
      <c r="AL7" s="100">
        <f t="shared" si="11"/>
        <v>0</v>
      </c>
      <c r="AM7" s="100">
        <f t="shared" si="12"/>
        <v>0.37</v>
      </c>
      <c r="AN7" s="100">
        <f t="shared" si="13"/>
        <v>3.5619476891623023</v>
      </c>
      <c r="AO7" s="111">
        <f t="shared" si="14"/>
        <v>0.37</v>
      </c>
      <c r="AP7" s="111">
        <f t="shared" si="15"/>
        <v>3.5619476891623023</v>
      </c>
      <c r="AU7" s="119" t="s">
        <v>496</v>
      </c>
      <c r="AV7" s="88" t="s">
        <v>72</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75</v>
      </c>
      <c r="AK8" s="100">
        <f t="shared" si="10"/>
        <v>0.46</v>
      </c>
      <c r="AL8" s="100">
        <f t="shared" si="11"/>
        <v>0.92</v>
      </c>
      <c r="AM8" s="100">
        <f t="shared" si="12"/>
        <v>0</v>
      </c>
      <c r="AN8" s="100">
        <f t="shared" si="13"/>
        <v>0</v>
      </c>
      <c r="AO8" s="111">
        <f t="shared" si="14"/>
        <v>-0.46</v>
      </c>
      <c r="AP8" s="111">
        <f t="shared" si="15"/>
        <v>-0.92</v>
      </c>
      <c r="AU8" s="119" t="s">
        <v>525</v>
      </c>
      <c r="AV8" s="88" t="s">
        <v>73</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38</v>
      </c>
      <c r="F9" s="493">
        <f>SUMIF('A-1 Site Habitat Baseline'!$G$11:$G$258,'G-2 Habitat groups'!A9,'A-1 Site Habitat Baseline'!$Q$11:$Q$258)</f>
        <v>76</v>
      </c>
      <c r="G9" s="493">
        <f>SUMIF('A-1 Site Habitat Baseline'!$G$11:$G$258,'G-2 Habitat groups'!A9,'A-1 Site Habitat Baseline'!$S$11:$S$258)</f>
        <v>7.57</v>
      </c>
      <c r="H9" s="493">
        <f>SUMIF('A-1 Site Habitat Baseline'!$G$11:$G$258,'G-2 Habitat groups'!A9,'A-1 Site Habitat Baseline'!$U$11:$U$258)</f>
        <v>15.14</v>
      </c>
      <c r="I9" s="493">
        <f>SUMIF('A-1 Site Habitat Baseline'!$G$11:$G$258,'G-2 Habitat groups'!A9,'A-1 Site Habitat Baseline'!$W$11:$W$258)</f>
        <v>30.43</v>
      </c>
      <c r="J9" s="493">
        <f>SUMIF('A-1 Site Habitat Baseline'!$G$11:$G$258,'G-2 Habitat groups'!A9,'A-1 Site Habitat Baseline'!$X$11:$X$258)</f>
        <v>60.86</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7.57</v>
      </c>
      <c r="P9" s="493">
        <f t="shared" si="1"/>
        <v>15.14</v>
      </c>
      <c r="Q9" s="493">
        <f t="shared" si="2"/>
        <v>-30.43</v>
      </c>
      <c r="R9" s="493">
        <f t="shared" si="3"/>
        <v>-60.86</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-30.43</v>
      </c>
      <c r="AF9" s="493">
        <f t="shared" si="9"/>
        <v>-60.86</v>
      </c>
      <c r="AJ9" s="107" t="s">
        <v>76</v>
      </c>
      <c r="AK9" s="100">
        <f t="shared" si="10"/>
        <v>1.6215999999999999</v>
      </c>
      <c r="AL9" s="100">
        <f t="shared" si="11"/>
        <v>10.431319999999999</v>
      </c>
      <c r="AM9" s="100">
        <f t="shared" si="12"/>
        <v>3.5196000000000001</v>
      </c>
      <c r="AN9" s="100">
        <f t="shared" si="13"/>
        <v>14.774571815735271</v>
      </c>
      <c r="AO9" s="111">
        <f t="shared" si="14"/>
        <v>1.8979999999999999</v>
      </c>
      <c r="AP9" s="111">
        <f t="shared" si="15"/>
        <v>4.3432518157352709</v>
      </c>
      <c r="AU9" s="119" t="s">
        <v>543</v>
      </c>
      <c r="AV9" s="88" t="s">
        <v>74</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77</v>
      </c>
      <c r="AK10" s="100">
        <f t="shared" si="10"/>
        <v>0</v>
      </c>
      <c r="AL10" s="100">
        <f t="shared" si="11"/>
        <v>0</v>
      </c>
      <c r="AM10" s="100">
        <f t="shared" si="12"/>
        <v>0</v>
      </c>
      <c r="AN10" s="100">
        <f t="shared" si="13"/>
        <v>0</v>
      </c>
      <c r="AO10" s="111">
        <f t="shared" si="14"/>
        <v>0</v>
      </c>
      <c r="AP10" s="111">
        <f t="shared" si="15"/>
        <v>0</v>
      </c>
      <c r="AU10" s="119" t="s">
        <v>578</v>
      </c>
      <c r="AV10" s="88" t="s">
        <v>75</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78</v>
      </c>
      <c r="AK11" s="100">
        <f t="shared" si="10"/>
        <v>1.22</v>
      </c>
      <c r="AL11" s="100">
        <f t="shared" si="11"/>
        <v>11.154000000000002</v>
      </c>
      <c r="AM11" s="100">
        <f t="shared" si="12"/>
        <v>5.18</v>
      </c>
      <c r="AN11" s="100">
        <f t="shared" ca="1" si="13"/>
        <v>24.359797980590603</v>
      </c>
      <c r="AO11" s="111">
        <f t="shared" si="14"/>
        <v>3.96</v>
      </c>
      <c r="AP11" s="111">
        <f t="shared" ca="1" si="15"/>
        <v>13.205797980590601</v>
      </c>
      <c r="AU11" s="119" t="s">
        <v>597</v>
      </c>
      <c r="AV11" s="88" t="s">
        <v>75</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79</v>
      </c>
      <c r="AK12" s="100">
        <f t="shared" si="10"/>
        <v>0</v>
      </c>
      <c r="AL12" s="100">
        <f t="shared" si="11"/>
        <v>0</v>
      </c>
      <c r="AM12" s="100">
        <f t="shared" si="12"/>
        <v>0</v>
      </c>
      <c r="AN12" s="100">
        <f t="shared" si="13"/>
        <v>0</v>
      </c>
      <c r="AO12" s="111">
        <f t="shared" si="14"/>
        <v>0</v>
      </c>
      <c r="AP12" s="111">
        <f t="shared" si="15"/>
        <v>0</v>
      </c>
      <c r="AU12" s="119" t="s">
        <v>661</v>
      </c>
      <c r="AV12" s="88" t="s">
        <v>77</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80</v>
      </c>
      <c r="AK13" s="100">
        <f t="shared" si="10"/>
        <v>0</v>
      </c>
      <c r="AL13" s="100">
        <f t="shared" si="11"/>
        <v>0</v>
      </c>
      <c r="AM13" s="100">
        <f t="shared" si="12"/>
        <v>0</v>
      </c>
      <c r="AN13" s="100">
        <f t="shared" si="13"/>
        <v>0</v>
      </c>
      <c r="AO13" s="111">
        <f t="shared" si="14"/>
        <v>0</v>
      </c>
      <c r="AP13" s="111">
        <f t="shared" si="15"/>
        <v>0</v>
      </c>
      <c r="AU13" s="119" t="s">
        <v>665</v>
      </c>
      <c r="AV13" s="88" t="s">
        <v>77</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81</v>
      </c>
      <c r="AK14" s="100">
        <f t="shared" si="10"/>
        <v>0</v>
      </c>
      <c r="AL14" s="100">
        <f t="shared" si="11"/>
        <v>0</v>
      </c>
      <c r="AM14" s="100">
        <f t="shared" si="12"/>
        <v>0</v>
      </c>
      <c r="AN14" s="100">
        <f t="shared" si="13"/>
        <v>0</v>
      </c>
      <c r="AO14" s="111">
        <f t="shared" si="14"/>
        <v>0</v>
      </c>
      <c r="AP14" s="111">
        <f t="shared" si="15"/>
        <v>0</v>
      </c>
      <c r="AU14" s="119" t="s">
        <v>669</v>
      </c>
      <c r="AV14" s="88" t="s">
        <v>77</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0.05</v>
      </c>
      <c r="F15" s="493">
        <f>SUMIF('A-1 Site Habitat Baseline'!$G$11:$G$258,'G-2 Habitat groups'!A15,'A-1 Site Habitat Baseline'!$Q$11:$Q$258)</f>
        <v>0.1</v>
      </c>
      <c r="G15" s="493">
        <f>SUMIF('A-1 Site Habitat Baseline'!$G$11:$G$258,'G-2 Habitat groups'!A15,'A-1 Site Habitat Baseline'!$S$11:$S$258)</f>
        <v>2.1000000000000001E-2</v>
      </c>
      <c r="H15" s="493">
        <f>SUMIF('A-1 Site Habitat Baseline'!$G$11:$G$258,'G-2 Habitat groups'!A15,'A-1 Site Habitat Baseline'!$U$11:$U$258)</f>
        <v>4.2000000000000003E-2</v>
      </c>
      <c r="I15" s="493">
        <f>SUMIF('A-1 Site Habitat Baseline'!$G$11:$G$258,'G-2 Habitat groups'!A15,'A-1 Site Habitat Baseline'!$W$11:$W$258)</f>
        <v>2.9000000000000001E-2</v>
      </c>
      <c r="J15" s="493">
        <f>SUMIF('A-1 Site Habitat Baseline'!$G$11:$G$258,'G-2 Habitat groups'!A15,'A-1 Site Habitat Baseline'!$X$11:$X$258)</f>
        <v>5.8000000000000003E-2</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2.1000000000000001E-2</v>
      </c>
      <c r="P15" s="493">
        <f t="shared" si="1"/>
        <v>4.2000000000000003E-2</v>
      </c>
      <c r="Q15" s="493">
        <f t="shared" si="2"/>
        <v>-2.9000000000000001E-2</v>
      </c>
      <c r="R15" s="493">
        <f t="shared" si="3"/>
        <v>-5.8000000000000003E-2</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-2.9000000000000001E-2</v>
      </c>
      <c r="AF15" s="493">
        <f t="shared" si="9"/>
        <v>-5.8000000000000003E-2</v>
      </c>
      <c r="AJ15" s="109" t="s">
        <v>82</v>
      </c>
      <c r="AK15" s="100">
        <f t="shared" si="10"/>
        <v>0</v>
      </c>
      <c r="AL15" s="100">
        <f t="shared" si="11"/>
        <v>0</v>
      </c>
      <c r="AM15" s="100">
        <f t="shared" si="12"/>
        <v>0</v>
      </c>
      <c r="AN15" s="100">
        <f t="shared" si="13"/>
        <v>0</v>
      </c>
      <c r="AO15" s="111">
        <f t="shared" si="14"/>
        <v>0</v>
      </c>
      <c r="AP15" s="111">
        <f t="shared" si="15"/>
        <v>0</v>
      </c>
      <c r="AU15" s="119" t="s">
        <v>675</v>
      </c>
      <c r="AV15" s="88" t="s">
        <v>77</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83</v>
      </c>
      <c r="AK16" s="100">
        <f t="shared" si="10"/>
        <v>0</v>
      </c>
      <c r="AL16" s="100">
        <f t="shared" si="11"/>
        <v>0</v>
      </c>
      <c r="AM16" s="100">
        <f t="shared" si="12"/>
        <v>0</v>
      </c>
      <c r="AN16" s="100">
        <f t="shared" si="13"/>
        <v>0</v>
      </c>
      <c r="AO16" s="111">
        <f t="shared" si="14"/>
        <v>0</v>
      </c>
      <c r="AP16" s="111">
        <f t="shared" si="15"/>
        <v>0</v>
      </c>
      <c r="AU16" s="119" t="s">
        <v>678</v>
      </c>
      <c r="AV16" s="88" t="s">
        <v>77</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682</v>
      </c>
      <c r="AV17" s="88" t="s">
        <v>77</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7.47</v>
      </c>
      <c r="L18" s="493">
        <f>SUMIF('A-2 Site Habitat Creation'!$F$11:$F$256,'G-2 Habitat groups'!A18,'A-2 Site Habitat Creation'!$Y$11:$Y$256)</f>
        <v>20.811936661826905</v>
      </c>
      <c r="M18" s="493">
        <f>SUMIF('A-3 Site Habitat Enhancement'!$S$12:$S$257,'G-2 Habitat groups'!A18,'A-3 Site Habitat Enhancement'!$V$12:$V$257)</f>
        <v>0</v>
      </c>
      <c r="N18" s="493">
        <f>SUMIF('A-3 Site Habitat Enhancement'!$S$12:$S$257,'G-2 Habitat groups'!A18,'A-3 Site Habitat Enhancement'!$AN$12:$AN$257)</f>
        <v>0</v>
      </c>
      <c r="O18" s="493">
        <f t="shared" si="0"/>
        <v>7.47</v>
      </c>
      <c r="P18" s="493">
        <f t="shared" si="1"/>
        <v>20.811936661826905</v>
      </c>
      <c r="Q18" s="493">
        <f t="shared" si="2"/>
        <v>7.47</v>
      </c>
      <c r="R18" s="493">
        <f t="shared" si="3"/>
        <v>20.811936661826905</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7.47</v>
      </c>
      <c r="AF18" s="493">
        <f t="shared" si="9"/>
        <v>20.811936661826905</v>
      </c>
      <c r="AU18" s="119" t="s">
        <v>688</v>
      </c>
      <c r="AV18" s="88" t="s">
        <v>77</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1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879</v>
      </c>
      <c r="AK19" s="127" t="s">
        <v>868</v>
      </c>
      <c r="AL19" s="127" t="s">
        <v>869</v>
      </c>
      <c r="AM19" s="127" t="s">
        <v>874</v>
      </c>
      <c r="AN19" s="127" t="s">
        <v>880</v>
      </c>
      <c r="AO19" s="127" t="s">
        <v>881</v>
      </c>
      <c r="AP19" s="127" t="s">
        <v>882</v>
      </c>
      <c r="AU19" s="119" t="s">
        <v>729</v>
      </c>
      <c r="AV19" s="119" t="s">
        <v>78</v>
      </c>
      <c r="AW19" s="591">
        <f t="shared" si="27"/>
        <v>0</v>
      </c>
      <c r="AX19" s="591">
        <f t="shared" si="28"/>
        <v>0</v>
      </c>
      <c r="AY19" s="591">
        <f t="shared" si="29"/>
        <v>2.13</v>
      </c>
      <c r="AZ19" s="591">
        <f t="shared" si="30"/>
        <v>1.4985675053645999</v>
      </c>
      <c r="BA19" s="591">
        <f t="shared" si="31"/>
        <v>2.13</v>
      </c>
      <c r="BB19" s="591">
        <f t="shared" si="32"/>
        <v>1.4985675053645999</v>
      </c>
      <c r="BC19" s="591">
        <f t="shared" si="33"/>
        <v>0</v>
      </c>
      <c r="BD19" s="591">
        <f t="shared" si="34"/>
        <v>0</v>
      </c>
      <c r="BE19" s="591">
        <f t="shared" si="35"/>
        <v>1.4985675053645999</v>
      </c>
      <c r="BF19" s="591" t="str">
        <f t="shared" si="36"/>
        <v/>
      </c>
      <c r="BG19" s="656">
        <f t="shared" si="26"/>
        <v>0</v>
      </c>
    </row>
    <row r="20" spans="1:59">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2.83</v>
      </c>
      <c r="F20" s="493">
        <f>SUMIF('A-1 Site Habitat Baseline'!$G$11:$G$258,'G-2 Habitat groups'!A20,'A-1 Site Habitat Baseline'!$Q$11:$Q$258)</f>
        <v>5.66</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2.83</v>
      </c>
      <c r="J20" s="493">
        <f>SUMIF('A-1 Site Habitat Baseline'!$G$11:$G$258,'G-2 Habitat groups'!A20,'A-1 Site Habitat Baseline'!$X$11:$X$258)</f>
        <v>5.66</v>
      </c>
      <c r="K20" s="493">
        <f>SUMIF('A-2 Site Habitat Creation'!$F$11:$F$256,'G-2 Habitat groups'!A20,'A-2 Site Habitat Creation'!$G$11:$G$256)</f>
        <v>24.81</v>
      </c>
      <c r="L20" s="493">
        <f>SUMIF('A-2 Site Habitat Creation'!$F$11:$F$256,'G-2 Habitat groups'!A20,'A-2 Site Habitat Creation'!$Y$11:$Y$256)</f>
        <v>82.091453920674013</v>
      </c>
      <c r="M20" s="493">
        <f>SUMIF('A-3 Site Habitat Enhancement'!$S$12:$S$257,'G-2 Habitat groups'!A20,'A-3 Site Habitat Enhancement'!$V$12:$V$257)</f>
        <v>0</v>
      </c>
      <c r="N20" s="493">
        <f>SUMIF('A-3 Site Habitat Enhancement'!$S$12:$S$257,'G-2 Habitat groups'!A20,'A-3 Site Habitat Enhancement'!$AN$12:$AN$257)</f>
        <v>0</v>
      </c>
      <c r="O20" s="493">
        <f t="shared" si="0"/>
        <v>24.81</v>
      </c>
      <c r="P20" s="493">
        <f t="shared" si="1"/>
        <v>82.091453920674013</v>
      </c>
      <c r="Q20" s="493">
        <f t="shared" si="2"/>
        <v>21.979999999999997</v>
      </c>
      <c r="R20" s="493">
        <f t="shared" si="3"/>
        <v>76.431453920674016</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21.979999999999997</v>
      </c>
      <c r="AF20" s="493">
        <f t="shared" si="9"/>
        <v>76.431453920674016</v>
      </c>
      <c r="AJ20" s="106" t="s">
        <v>71</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739</v>
      </c>
      <c r="AV20" s="88" t="s">
        <v>883</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72</v>
      </c>
      <c r="AK21" s="100">
        <f t="shared" si="37"/>
        <v>0</v>
      </c>
      <c r="AL21" s="100">
        <f t="shared" si="38"/>
        <v>0</v>
      </c>
      <c r="AM21" s="100">
        <f t="shared" si="39"/>
        <v>0</v>
      </c>
      <c r="AN21" s="100">
        <f t="shared" si="40"/>
        <v>0</v>
      </c>
      <c r="AO21" s="111">
        <f t="shared" si="41"/>
        <v>0</v>
      </c>
      <c r="AP21" s="111">
        <f t="shared" si="42"/>
        <v>0</v>
      </c>
      <c r="AU21" s="119" t="s">
        <v>746</v>
      </c>
      <c r="AV21" s="88" t="s">
        <v>883</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73</v>
      </c>
      <c r="AK22" s="100">
        <f t="shared" si="37"/>
        <v>0</v>
      </c>
      <c r="AL22" s="100">
        <f t="shared" si="38"/>
        <v>0</v>
      </c>
      <c r="AM22" s="100">
        <f t="shared" si="39"/>
        <v>0</v>
      </c>
      <c r="AN22" s="100">
        <f t="shared" si="40"/>
        <v>0</v>
      </c>
      <c r="AO22" s="111">
        <f t="shared" si="41"/>
        <v>0</v>
      </c>
      <c r="AP22" s="111">
        <f t="shared" si="42"/>
        <v>0</v>
      </c>
      <c r="AU22" s="119" t="s">
        <v>753</v>
      </c>
      <c r="AV22" s="88" t="s">
        <v>883</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74</v>
      </c>
      <c r="AK23" s="100">
        <f t="shared" si="37"/>
        <v>0</v>
      </c>
      <c r="AL23" s="100">
        <f t="shared" si="38"/>
        <v>0</v>
      </c>
      <c r="AM23" s="100">
        <f t="shared" si="39"/>
        <v>0</v>
      </c>
      <c r="AN23" s="100">
        <f t="shared" si="40"/>
        <v>0</v>
      </c>
      <c r="AO23" s="111">
        <f t="shared" si="41"/>
        <v>0</v>
      </c>
      <c r="AP23" s="111">
        <f t="shared" si="42"/>
        <v>0</v>
      </c>
      <c r="AU23" s="119" t="s">
        <v>760</v>
      </c>
      <c r="AV23" s="88" t="s">
        <v>883</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75</v>
      </c>
      <c r="AK24" s="100">
        <f t="shared" si="37"/>
        <v>0</v>
      </c>
      <c r="AL24" s="100">
        <f t="shared" si="38"/>
        <v>0</v>
      </c>
      <c r="AM24" s="100">
        <f t="shared" si="39"/>
        <v>0</v>
      </c>
      <c r="AN24" s="100">
        <f t="shared" si="40"/>
        <v>0</v>
      </c>
      <c r="AO24" s="111">
        <f t="shared" si="41"/>
        <v>0</v>
      </c>
      <c r="AP24" s="111">
        <f t="shared" si="42"/>
        <v>0</v>
      </c>
      <c r="AU24" s="119" t="s">
        <v>785</v>
      </c>
      <c r="AV24" s="88" t="s">
        <v>79</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76</v>
      </c>
      <c r="AK25" s="100">
        <f t="shared" si="37"/>
        <v>0</v>
      </c>
      <c r="AL25" s="100">
        <f t="shared" si="38"/>
        <v>0</v>
      </c>
      <c r="AM25" s="100">
        <f t="shared" si="39"/>
        <v>0</v>
      </c>
      <c r="AN25" s="100">
        <f t="shared" si="40"/>
        <v>0</v>
      </c>
      <c r="AO25" s="111">
        <f t="shared" si="41"/>
        <v>0</v>
      </c>
      <c r="AP25" s="111">
        <f t="shared" si="42"/>
        <v>0</v>
      </c>
    </row>
    <row r="26" spans="1:59">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77</v>
      </c>
      <c r="AK26" s="100">
        <f t="shared" si="37"/>
        <v>0</v>
      </c>
      <c r="AL26" s="100">
        <f t="shared" si="38"/>
        <v>0</v>
      </c>
      <c r="AM26" s="100">
        <f t="shared" si="39"/>
        <v>0</v>
      </c>
      <c r="AN26" s="100">
        <f t="shared" si="40"/>
        <v>0</v>
      </c>
      <c r="AO26" s="111">
        <f t="shared" si="41"/>
        <v>0</v>
      </c>
      <c r="AP26" s="111">
        <f t="shared" si="42"/>
        <v>0</v>
      </c>
    </row>
    <row r="27" spans="1:59" ht="15.6" customHeight="1">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78</v>
      </c>
      <c r="AK27" s="100">
        <f t="shared" si="37"/>
        <v>0</v>
      </c>
      <c r="AL27" s="100">
        <f t="shared" si="38"/>
        <v>0</v>
      </c>
      <c r="AM27" s="100">
        <f t="shared" si="39"/>
        <v>0</v>
      </c>
      <c r="AN27" s="100">
        <f t="shared" si="40"/>
        <v>0</v>
      </c>
      <c r="AO27" s="111">
        <f t="shared" si="41"/>
        <v>0</v>
      </c>
      <c r="AP27" s="111">
        <f t="shared" si="42"/>
        <v>0</v>
      </c>
      <c r="AU27" s="1040" t="s">
        <v>155</v>
      </c>
    </row>
    <row r="28" spans="1:59" ht="15.6" customHeight="1">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0.2</v>
      </c>
      <c r="F28" s="493">
        <f>SUMIF('A-1 Site Habitat Baseline'!$G$11:$G$258,'G-2 Habitat groups'!A28,'A-1 Site Habitat Baseline'!$Q$11:$Q$258)</f>
        <v>0.8</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0.2</v>
      </c>
      <c r="J28" s="493">
        <f>SUMIF('A-1 Site Habitat Baseline'!$G$11:$G$258,'G-2 Habitat groups'!A28,'A-1 Site Habitat Baseline'!$X$11:$X$258)</f>
        <v>0.8</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-0.2</v>
      </c>
      <c r="R28" s="493">
        <f t="shared" si="3"/>
        <v>-0.8</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-0.2</v>
      </c>
      <c r="AF28" s="493">
        <f t="shared" si="9"/>
        <v>-0.8</v>
      </c>
      <c r="AJ28" s="109" t="s">
        <v>79</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80</v>
      </c>
      <c r="AK29" s="112">
        <f t="shared" si="37"/>
        <v>0</v>
      </c>
      <c r="AL29" s="112">
        <f t="shared" si="38"/>
        <v>0</v>
      </c>
      <c r="AM29" s="112">
        <f t="shared" si="39"/>
        <v>0</v>
      </c>
      <c r="AN29" s="112">
        <f t="shared" si="40"/>
        <v>0</v>
      </c>
      <c r="AO29" s="111">
        <f t="shared" si="41"/>
        <v>0</v>
      </c>
      <c r="AP29" s="111">
        <f t="shared" si="42"/>
        <v>0</v>
      </c>
      <c r="AU29" s="123" t="s">
        <v>175</v>
      </c>
      <c r="AV29" s="127" t="s">
        <v>162</v>
      </c>
      <c r="AW29" s="127" t="s">
        <v>868</v>
      </c>
      <c r="AX29" s="127" t="s">
        <v>873</v>
      </c>
      <c r="AY29" s="127" t="s">
        <v>870</v>
      </c>
      <c r="AZ29" s="127" t="s">
        <v>871</v>
      </c>
      <c r="BA29" s="127" t="s">
        <v>872</v>
      </c>
      <c r="BB29" s="127" t="s">
        <v>163</v>
      </c>
      <c r="BC29" s="127" t="s">
        <v>874</v>
      </c>
      <c r="BD29" s="127" t="s">
        <v>875</v>
      </c>
      <c r="BE29" s="127" t="s">
        <v>876</v>
      </c>
      <c r="BF29" s="127" t="s">
        <v>877</v>
      </c>
    </row>
    <row r="30" spans="1:59">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81</v>
      </c>
      <c r="AK30" s="112">
        <f t="shared" si="37"/>
        <v>0</v>
      </c>
      <c r="AL30" s="112">
        <f t="shared" si="38"/>
        <v>0</v>
      </c>
      <c r="AM30" s="112">
        <f t="shared" si="39"/>
        <v>0</v>
      </c>
      <c r="AN30" s="112">
        <f t="shared" si="40"/>
        <v>0</v>
      </c>
      <c r="AO30" s="111">
        <f t="shared" si="41"/>
        <v>0</v>
      </c>
      <c r="AP30" s="111">
        <f t="shared" si="42"/>
        <v>0</v>
      </c>
      <c r="AU30" s="113" t="s">
        <v>450</v>
      </c>
      <c r="AV30" s="88" t="s">
        <v>72</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82</v>
      </c>
      <c r="AK31" s="100">
        <f t="shared" si="37"/>
        <v>0</v>
      </c>
      <c r="AL31" s="100">
        <f t="shared" si="38"/>
        <v>0</v>
      </c>
      <c r="AM31" s="100">
        <f t="shared" si="39"/>
        <v>0</v>
      </c>
      <c r="AN31" s="100">
        <f t="shared" si="40"/>
        <v>0</v>
      </c>
      <c r="AO31" s="111">
        <f t="shared" si="41"/>
        <v>0</v>
      </c>
      <c r="AP31" s="111">
        <f t="shared" si="42"/>
        <v>0</v>
      </c>
      <c r="AU31" s="113" t="s">
        <v>457</v>
      </c>
      <c r="AV31" s="88" t="s">
        <v>72</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83</v>
      </c>
      <c r="AK32" s="100">
        <f t="shared" si="37"/>
        <v>0</v>
      </c>
      <c r="AL32" s="100">
        <f t="shared" si="38"/>
        <v>0</v>
      </c>
      <c r="AM32" s="100">
        <f t="shared" si="39"/>
        <v>0</v>
      </c>
      <c r="AN32" s="100">
        <f t="shared" si="40"/>
        <v>0</v>
      </c>
      <c r="AO32" s="111">
        <f t="shared" si="41"/>
        <v>0</v>
      </c>
      <c r="AP32" s="111">
        <f t="shared" si="42"/>
        <v>0</v>
      </c>
      <c r="AU32" s="113" t="s">
        <v>462</v>
      </c>
      <c r="AV32" s="88" t="s">
        <v>72</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485</v>
      </c>
      <c r="AV33" s="88" t="s">
        <v>72</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493</v>
      </c>
      <c r="AV34" s="88" t="s">
        <v>72</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515</v>
      </c>
      <c r="AV35" s="88" t="s">
        <v>73</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531</v>
      </c>
      <c r="AV36" s="88" t="s">
        <v>73</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540</v>
      </c>
      <c r="AV37" s="88" t="s">
        <v>73</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551</v>
      </c>
      <c r="AV38" s="88" t="s">
        <v>74</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554</v>
      </c>
      <c r="AV39" s="88" t="s">
        <v>74</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557</v>
      </c>
      <c r="AV40" s="88" t="s">
        <v>74</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560</v>
      </c>
      <c r="AV41" s="88" t="s">
        <v>74</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563</v>
      </c>
      <c r="AV42" s="88" t="s">
        <v>74</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565</v>
      </c>
      <c r="AV43" s="88" t="s">
        <v>74</v>
      </c>
      <c r="AW43" s="493">
        <f t="shared" si="43"/>
        <v>0</v>
      </c>
      <c r="AX43" s="493">
        <f t="shared" si="44"/>
        <v>0</v>
      </c>
      <c r="AY43" s="493">
        <f t="shared" si="45"/>
        <v>0.37</v>
      </c>
      <c r="AZ43" s="493">
        <f t="shared" si="46"/>
        <v>3.5619476891623023</v>
      </c>
      <c r="BA43" s="493">
        <f t="shared" si="47"/>
        <v>0.37</v>
      </c>
      <c r="BB43" s="493">
        <f t="shared" si="48"/>
        <v>3.5619476891623023</v>
      </c>
      <c r="BC43" s="493">
        <f t="shared" si="49"/>
        <v>0</v>
      </c>
      <c r="BD43" s="493">
        <f t="shared" si="50"/>
        <v>0</v>
      </c>
      <c r="BE43" s="493">
        <f t="shared" si="51"/>
        <v>3.5619476891623023</v>
      </c>
      <c r="BF43" s="493" t="str">
        <f t="shared" si="52"/>
        <v/>
      </c>
    </row>
    <row r="44" spans="1:58">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574</v>
      </c>
      <c r="AV44" s="88" t="s">
        <v>74</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582</v>
      </c>
      <c r="AV45" s="88" t="s">
        <v>75</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0.37</v>
      </c>
      <c r="L46" s="493">
        <f>SUMIF('A-2 Site Habitat Creation'!$F$11:$F$256,'G-2 Habitat groups'!A46,'A-2 Site Habitat Creation'!$Y$11:$Y$256)</f>
        <v>3.5619476891623023</v>
      </c>
      <c r="M46" s="493">
        <f>SUMIF('A-3 Site Habitat Enhancement'!$S$12:$S$257,'G-2 Habitat groups'!A46,'A-3 Site Habitat Enhancement'!$V$12:$V$257)</f>
        <v>0</v>
      </c>
      <c r="N46" s="493">
        <f>SUMIF('A-3 Site Habitat Enhancement'!$S$12:$S$257,'G-2 Habitat groups'!A46,'A-3 Site Habitat Enhancement'!$AN$12:$AN$257)</f>
        <v>0</v>
      </c>
      <c r="O46" s="493">
        <f t="shared" si="53"/>
        <v>0.37</v>
      </c>
      <c r="P46" s="493">
        <f t="shared" si="54"/>
        <v>3.5619476891623023</v>
      </c>
      <c r="Q46" s="493">
        <f t="shared" si="55"/>
        <v>0.37</v>
      </c>
      <c r="R46" s="493">
        <f t="shared" si="56"/>
        <v>3.5619476891623023</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0.37</v>
      </c>
      <c r="AF46" s="493">
        <f t="shared" si="62"/>
        <v>3.5619476891623023</v>
      </c>
      <c r="AU46" s="113" t="s">
        <v>586</v>
      </c>
      <c r="AV46" s="88" t="s">
        <v>75</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592</v>
      </c>
      <c r="AV47" s="88" t="s">
        <v>75</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600</v>
      </c>
      <c r="AV48" s="88" t="s">
        <v>75</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640</v>
      </c>
      <c r="AV49" s="88" t="s">
        <v>76</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685</v>
      </c>
      <c r="AV50" s="88" t="s">
        <v>77</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691</v>
      </c>
      <c r="AV51" s="88" t="s">
        <v>78</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694</v>
      </c>
      <c r="AV52" s="88" t="s">
        <v>78</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0.46</v>
      </c>
      <c r="F53" s="493">
        <f>SUMIF('A-1 Site Habitat Baseline'!$G$11:$G$258,'G-2 Habitat groups'!A53,'A-1 Site Habitat Baseline'!$Q$11:$Q$258)</f>
        <v>0.92</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0.46</v>
      </c>
      <c r="J53" s="493">
        <f>SUMIF('A-1 Site Habitat Baseline'!$G$11:$G$258,'G-2 Habitat groups'!A53,'A-1 Site Habitat Baseline'!$X$11:$X$258)</f>
        <v>0.92</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-0.46</v>
      </c>
      <c r="R53" s="493">
        <f t="shared" si="56"/>
        <v>-0.92</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-0.46</v>
      </c>
      <c r="AF53" s="493">
        <f t="shared" si="62"/>
        <v>-0.92</v>
      </c>
      <c r="AU53" s="113" t="s">
        <v>698</v>
      </c>
      <c r="AV53" s="88" t="s">
        <v>78</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701</v>
      </c>
      <c r="AV54" s="88" t="s">
        <v>78</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716</v>
      </c>
      <c r="AV55" s="88" t="s">
        <v>78</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719</v>
      </c>
      <c r="AV56" s="88" t="s">
        <v>78</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722</v>
      </c>
      <c r="AV57" s="88" t="s">
        <v>78</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727</v>
      </c>
      <c r="AV58" s="88" t="s">
        <v>78</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730</v>
      </c>
      <c r="AV59" s="88" t="s">
        <v>82</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735</v>
      </c>
      <c r="AV60" s="88" t="s">
        <v>883</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743</v>
      </c>
      <c r="AV61" s="88" t="s">
        <v>883</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750</v>
      </c>
      <c r="AV62" s="88" t="s">
        <v>883</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757</v>
      </c>
      <c r="AV63" s="88" t="s">
        <v>883</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0.04</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0.04</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-0.04</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-0.04</v>
      </c>
      <c r="AF64" s="493">
        <f t="shared" si="62"/>
        <v>0</v>
      </c>
      <c r="AU64" s="118" t="s">
        <v>775</v>
      </c>
      <c r="AV64" s="88" t="s">
        <v>79</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778</v>
      </c>
      <c r="AV65" s="88" t="s">
        <v>79</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764</v>
      </c>
      <c r="AV66" s="88" t="s">
        <v>884</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789</v>
      </c>
      <c r="AV67" s="88" t="s">
        <v>79</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793</v>
      </c>
      <c r="AV68" s="88" t="s">
        <v>79</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796</v>
      </c>
      <c r="AV69" s="88" t="s">
        <v>79</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823</v>
      </c>
      <c r="AV70" s="88" t="s">
        <v>79</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0.8216</v>
      </c>
      <c r="F74" s="493">
        <f>SUMIF('A-1 Site Habitat Baseline'!$G$11:$G$258,'G-2 Habitat groups'!A74,'A-1 Site Habitat Baseline'!$Q$11:$Q$258)</f>
        <v>8.9113199999999999</v>
      </c>
      <c r="G74" s="493">
        <f>SUMIF('A-1 Site Habitat Baseline'!$G$11:$G$258,'G-2 Habitat groups'!A74,'A-1 Site Habitat Baseline'!$S$11:$S$258)</f>
        <v>0.51590000000000003</v>
      </c>
      <c r="H74" s="493">
        <f>SUMIF('A-1 Site Habitat Baseline'!$G$11:$G$258,'G-2 Habitat groups'!A74,'A-1 Site Habitat Baseline'!$U$11:$U$258)</f>
        <v>4.87608</v>
      </c>
      <c r="I74" s="493">
        <f>SUMIF('A-1 Site Habitat Baseline'!$G$11:$G$258,'G-2 Habitat groups'!A74,'A-1 Site Habitat Baseline'!$W$11:$W$258)</f>
        <v>0.30569999999999997</v>
      </c>
      <c r="J74" s="493">
        <f>SUMIF('A-1 Site Habitat Baseline'!$G$11:$G$258,'G-2 Habitat groups'!A74,'A-1 Site Habitat Baseline'!$X$11:$X$258)</f>
        <v>4.0352399999999999</v>
      </c>
      <c r="K74" s="493">
        <f>SUMIF('A-2 Site Habitat Creation'!$F$11:$F$256,'G-2 Habitat groups'!A74,'A-2 Site Habitat Creation'!$G$11:$G$256)</f>
        <v>2.5636999999999999</v>
      </c>
      <c r="L74" s="493">
        <f>SUMIF('A-2 Site Habitat Creation'!$F$11:$F$256,'G-2 Habitat groups'!A74,'A-2 Site Habitat Creation'!$Y$11:$Y$256)</f>
        <v>9.0184918157352705</v>
      </c>
      <c r="M74" s="493">
        <f>SUMIF('A-3 Site Habitat Enhancement'!$S$12:$S$257,'G-2 Habitat groups'!A74,'A-3 Site Habitat Enhancement'!$V$12:$V$257)</f>
        <v>0</v>
      </c>
      <c r="N74" s="493">
        <f>SUMIF('A-3 Site Habitat Enhancement'!$S$12:$S$257,'G-2 Habitat groups'!A74,'A-3 Site Habitat Enhancement'!$AN$12:$AN$257)</f>
        <v>0</v>
      </c>
      <c r="O74" s="493">
        <f t="shared" si="63"/>
        <v>3.0796000000000001</v>
      </c>
      <c r="P74" s="493">
        <f t="shared" si="64"/>
        <v>13.89457181573527</v>
      </c>
      <c r="Q74" s="493">
        <f t="shared" si="65"/>
        <v>2.258</v>
      </c>
      <c r="R74" s="493">
        <f t="shared" si="66"/>
        <v>4.9832518157352705</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2.258</v>
      </c>
      <c r="AF74" s="493">
        <f t="shared" si="72"/>
        <v>4.9832518157352705</v>
      </c>
    </row>
    <row r="75" spans="1:59" ht="35.450000000000003">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25</v>
      </c>
      <c r="AV75" s="99"/>
      <c r="AW75" s="99"/>
      <c r="AX75" s="99"/>
      <c r="AY75" s="99"/>
      <c r="AZ75" s="99"/>
      <c r="BA75" s="99"/>
      <c r="BB75" s="99"/>
      <c r="BC75" s="99"/>
      <c r="BD75" s="99"/>
      <c r="BE75" s="99"/>
      <c r="BF75" s="99"/>
      <c r="BG75" s="121"/>
    </row>
    <row r="76" spans="1:59" ht="33.75" customHeight="1">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175</v>
      </c>
      <c r="AV76" s="127" t="s">
        <v>162</v>
      </c>
      <c r="AW76" s="128" t="s">
        <v>868</v>
      </c>
      <c r="AX76" s="128" t="s">
        <v>873</v>
      </c>
      <c r="AY76" s="128" t="s">
        <v>870</v>
      </c>
      <c r="AZ76" s="128" t="s">
        <v>871</v>
      </c>
      <c r="BA76" s="128" t="s">
        <v>872</v>
      </c>
      <c r="BB76" s="128" t="s">
        <v>163</v>
      </c>
      <c r="BC76" s="128" t="s">
        <v>874</v>
      </c>
      <c r="BD76" s="127" t="s">
        <v>875</v>
      </c>
      <c r="BE76" s="128" t="s">
        <v>876</v>
      </c>
      <c r="BF76" s="128" t="s">
        <v>885</v>
      </c>
      <c r="BG76" s="122"/>
    </row>
    <row r="77" spans="1:59">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0.76</v>
      </c>
      <c r="F77" s="493">
        <f>SUMIF('A-1 Site Habitat Baseline'!$G$11:$G$258,'G-2 Habitat groups'!A77,'A-1 Site Habitat Baseline'!$Q$11:$Q$258)</f>
        <v>1.52</v>
      </c>
      <c r="G77" s="493">
        <f>SUMIF('A-1 Site Habitat Baseline'!$G$11:$G$258,'G-2 Habitat groups'!A77,'A-1 Site Habitat Baseline'!$S$11:$S$258)</f>
        <v>0.44</v>
      </c>
      <c r="H77" s="493">
        <f>SUMIF('A-1 Site Habitat Baseline'!$G$11:$G$258,'G-2 Habitat groups'!A77,'A-1 Site Habitat Baseline'!$U$11:$U$258)</f>
        <v>0.88</v>
      </c>
      <c r="I77" s="493">
        <f>SUMIF('A-1 Site Habitat Baseline'!$G$11:$G$258,'G-2 Habitat groups'!A77,'A-1 Site Habitat Baseline'!$W$11:$W$258)</f>
        <v>0.32</v>
      </c>
      <c r="J77" s="493">
        <f>SUMIF('A-1 Site Habitat Baseline'!$G$11:$G$258,'G-2 Habitat groups'!A77,'A-1 Site Habitat Baseline'!$X$11:$X$258)</f>
        <v>0.64</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0.44</v>
      </c>
      <c r="P77" s="493">
        <f t="shared" si="64"/>
        <v>0.88</v>
      </c>
      <c r="Q77" s="493">
        <f t="shared" si="65"/>
        <v>-0.32</v>
      </c>
      <c r="R77" s="493">
        <f t="shared" si="66"/>
        <v>-0.64</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-0.32</v>
      </c>
      <c r="AF77" s="493">
        <f t="shared" si="72"/>
        <v>-0.64</v>
      </c>
      <c r="AU77" s="104" t="s">
        <v>404</v>
      </c>
      <c r="AV77" s="88" t="s">
        <v>71</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413</v>
      </c>
      <c r="AV78" s="88" t="s">
        <v>71</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418</v>
      </c>
      <c r="AV79" s="88" t="s">
        <v>71</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421</v>
      </c>
      <c r="AV80" s="88" t="s">
        <v>71</v>
      </c>
      <c r="AW80" s="493">
        <f t="shared" ref="AW80" si="86">VLOOKUP($AU80,AllHabsSummaryData,5,FALSE)</f>
        <v>2.4700000000000002</v>
      </c>
      <c r="AX80" s="493">
        <f t="shared" si="74"/>
        <v>10.137600000000003</v>
      </c>
      <c r="AY80" s="493">
        <f t="shared" si="75"/>
        <v>0.16600000000000001</v>
      </c>
      <c r="AZ80" s="493">
        <f t="shared" si="76"/>
        <v>0.73040000000000005</v>
      </c>
      <c r="BA80" s="493">
        <f t="shared" si="77"/>
        <v>-2.3040000000000003</v>
      </c>
      <c r="BB80" s="493">
        <f t="shared" si="78"/>
        <v>-10.137600000000003</v>
      </c>
      <c r="BC80" s="493">
        <f t="shared" si="79"/>
        <v>0</v>
      </c>
      <c r="BD80" s="493">
        <f t="shared" si="80"/>
        <v>0</v>
      </c>
      <c r="BE80" s="493">
        <f t="shared" ref="BE80" si="87">BB80+BD80</f>
        <v>-10.137600000000003</v>
      </c>
      <c r="BF80" s="493">
        <f t="shared" ref="BF80" si="88">IF(BE80&lt;0,BE80,"")</f>
        <v>-10.137600000000003</v>
      </c>
    </row>
    <row r="81" spans="1:58">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479</v>
      </c>
      <c r="AV81" s="88" t="s">
        <v>72</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482</v>
      </c>
      <c r="AV82" s="88" t="s">
        <v>72</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490</v>
      </c>
      <c r="AV83" s="88" t="s">
        <v>72</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499</v>
      </c>
      <c r="AV84" s="88" t="s">
        <v>73</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503</v>
      </c>
      <c r="AV85" s="88" t="s">
        <v>73</v>
      </c>
      <c r="AW85" s="493">
        <f t="shared" si="89"/>
        <v>0.2</v>
      </c>
      <c r="AX85" s="493">
        <f t="shared" si="90"/>
        <v>0.8</v>
      </c>
      <c r="AY85" s="493">
        <f t="shared" si="91"/>
        <v>0</v>
      </c>
      <c r="AZ85" s="493">
        <f t="shared" si="92"/>
        <v>0</v>
      </c>
      <c r="BA85" s="493">
        <f t="shared" si="93"/>
        <v>-0.2</v>
      </c>
      <c r="BB85" s="493">
        <f t="shared" si="94"/>
        <v>-0.8</v>
      </c>
      <c r="BC85" s="493">
        <f t="shared" si="95"/>
        <v>0</v>
      </c>
      <c r="BD85" s="493">
        <f t="shared" si="96"/>
        <v>0</v>
      </c>
      <c r="BE85" s="493">
        <f t="shared" si="97"/>
        <v>-0.8</v>
      </c>
      <c r="BF85" s="493">
        <f t="shared" si="98"/>
        <v>-0.8</v>
      </c>
    </row>
    <row r="86" spans="1:58">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506</v>
      </c>
      <c r="AV86" s="88" t="s">
        <v>73</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509</v>
      </c>
      <c r="AV87" s="88" t="s">
        <v>73</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512</v>
      </c>
      <c r="AV88" s="88" t="s">
        <v>73</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521</v>
      </c>
      <c r="AV89" s="88" t="s">
        <v>73</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568</v>
      </c>
      <c r="AV90" s="88" t="s">
        <v>74</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572</v>
      </c>
      <c r="AV91" s="88" t="s">
        <v>74</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605</v>
      </c>
      <c r="AV92" s="88" t="s">
        <v>75</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1.22</v>
      </c>
      <c r="F93" s="493">
        <f>SUMIF('A-1 Site Habitat Baseline'!$G$11:$G$258,'G-2 Habitat groups'!A93,'A-1 Site Habitat Baseline'!$Q$11:$Q$258)</f>
        <v>11.154000000000002</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1.83</v>
      </c>
      <c r="L93" s="493">
        <f>SUMIF('A-2 Site Habitat Creation'!$F$11:$F$256,'G-2 Habitat groups'!A93,'A-2 Site Habitat Creation'!$Y$11:$Y$256)</f>
        <v>8.1837568117008015</v>
      </c>
      <c r="M93" s="493">
        <f>SUMIF('A-3 Site Habitat Enhancement'!$S$12:$S$257,'G-2 Habitat groups'!A93,'A-3 Site Habitat Enhancement'!$V$12:$V$257)</f>
        <v>0.19</v>
      </c>
      <c r="N93" s="493">
        <f ca="1">SUMIF('A-3 Site Habitat Enhancement'!$S$12:$S$257,'G-2 Habitat groups'!A93,'A-3 Site Habitat Enhancement'!$AN$12:$AN$257)</f>
        <v>2.4397943968508002</v>
      </c>
      <c r="O93" s="493">
        <f t="shared" si="63"/>
        <v>2.02</v>
      </c>
      <c r="P93" s="493">
        <f t="shared" ca="1" si="64"/>
        <v>10.623551208551602</v>
      </c>
      <c r="Q93" s="493">
        <f t="shared" si="65"/>
        <v>0.8</v>
      </c>
      <c r="R93" s="493">
        <f t="shared" ca="1" si="66"/>
        <v>-0.53044879144839996</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0.8</v>
      </c>
      <c r="AF93" s="493">
        <f t="shared" ca="1" si="72"/>
        <v>-0.53044879144839996</v>
      </c>
      <c r="AU93" s="104" t="s">
        <v>621</v>
      </c>
      <c r="AV93" s="88" t="s">
        <v>76</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1.03</v>
      </c>
      <c r="N94" s="493">
        <f ca="1">SUMIF('A-3 Site Habitat Enhancement'!$S$12:$S$257,'G-2 Habitat groups'!A94,'A-3 Site Habitat Enhancement'!$AN$12:$AN$257)</f>
        <v>12.237679266674402</v>
      </c>
      <c r="O94" s="493">
        <f t="shared" si="63"/>
        <v>1.03</v>
      </c>
      <c r="P94" s="493">
        <f t="shared" ca="1" si="64"/>
        <v>12.237679266674402</v>
      </c>
      <c r="Q94" s="493">
        <f t="shared" si="65"/>
        <v>1.03</v>
      </c>
      <c r="R94" s="493">
        <f t="shared" ca="1" si="66"/>
        <v>12.237679266674402</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1.03</v>
      </c>
      <c r="AF94" s="493">
        <f t="shared" ca="1" si="72"/>
        <v>12.237679266674402</v>
      </c>
      <c r="AU94" s="104" t="s">
        <v>635</v>
      </c>
      <c r="AV94" s="88" t="s">
        <v>76</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709</v>
      </c>
      <c r="AV95" s="88" t="s">
        <v>78</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711</v>
      </c>
      <c r="AV96" s="88" t="s">
        <v>78</v>
      </c>
      <c r="AW96" s="493">
        <f t="shared" si="89"/>
        <v>1.22</v>
      </c>
      <c r="AX96" s="493">
        <f t="shared" si="90"/>
        <v>0</v>
      </c>
      <c r="AY96" s="493">
        <f t="shared" si="91"/>
        <v>2.02</v>
      </c>
      <c r="AZ96" s="493">
        <f t="shared" ca="1" si="92"/>
        <v>10.623551208551602</v>
      </c>
      <c r="BA96" s="493">
        <f t="shared" si="93"/>
        <v>0.8</v>
      </c>
      <c r="BB96" s="493">
        <f t="shared" ca="1" si="94"/>
        <v>-0.53044879144839996</v>
      </c>
      <c r="BC96" s="493">
        <f t="shared" si="95"/>
        <v>0</v>
      </c>
      <c r="BD96" s="493">
        <f t="shared" si="96"/>
        <v>0</v>
      </c>
      <c r="BE96" s="493">
        <f ca="1">BB96+BD96</f>
        <v>-0.53044879144839996</v>
      </c>
      <c r="BF96" s="493">
        <f ca="1">IF(BE96&lt;0,BE96,"")</f>
        <v>-0.53044879144839996</v>
      </c>
    </row>
    <row r="97" spans="1:59">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713</v>
      </c>
      <c r="AV97" s="88" t="s">
        <v>78</v>
      </c>
      <c r="AW97" s="493">
        <f t="shared" si="89"/>
        <v>0</v>
      </c>
      <c r="AX97" s="493">
        <f t="shared" si="90"/>
        <v>0</v>
      </c>
      <c r="AY97" s="493">
        <f t="shared" si="91"/>
        <v>1.03</v>
      </c>
      <c r="AZ97" s="493">
        <f t="shared" ca="1" si="92"/>
        <v>12.237679266674402</v>
      </c>
      <c r="BA97" s="493">
        <f t="shared" si="93"/>
        <v>1.03</v>
      </c>
      <c r="BB97" s="493">
        <f t="shared" ca="1" si="94"/>
        <v>12.237679266674402</v>
      </c>
      <c r="BC97" s="493">
        <f t="shared" si="95"/>
        <v>0</v>
      </c>
      <c r="BD97" s="493">
        <f t="shared" si="96"/>
        <v>0</v>
      </c>
      <c r="BE97" s="493">
        <f ca="1">BB97+BD97</f>
        <v>12.237679266674402</v>
      </c>
      <c r="BF97" s="493" t="str">
        <f ca="1">IF(BE97&lt;0,BE97,"")</f>
        <v/>
      </c>
    </row>
    <row r="98" spans="1:59">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772</v>
      </c>
      <c r="AV98" s="88" t="s">
        <v>79</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2.13</v>
      </c>
      <c r="L99" s="493">
        <f>SUMIF('A-2 Site Habitat Creation'!$F$11:$F$256,'G-2 Habitat groups'!A99,'A-2 Site Habitat Creation'!$Y$11:$Y$256)</f>
        <v>1.4985675053645999</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2.13</v>
      </c>
      <c r="P99" s="493">
        <f t="shared" ref="P99:P130" si="104">H99+L99+N99</f>
        <v>1.4985675053645999</v>
      </c>
      <c r="Q99" s="493">
        <f t="shared" ref="Q99:Q130" si="105">O99-E99</f>
        <v>2.13</v>
      </c>
      <c r="R99" s="493">
        <f t="shared" ref="R99:R130" si="106">P99-F99</f>
        <v>1.4985675053645999</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2.13</v>
      </c>
      <c r="AF99" s="493">
        <f t="shared" ref="AF99:AF130" si="112">R99+AD99</f>
        <v>1.4985675053645999</v>
      </c>
      <c r="AU99" s="130" t="s">
        <v>820</v>
      </c>
      <c r="AV99" s="88" t="s">
        <v>79</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7.6">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832</v>
      </c>
      <c r="AV100" s="327" t="s">
        <v>886</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450000000000003">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158</v>
      </c>
    </row>
    <row r="109" spans="1:59" ht="33" customHeight="1">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175</v>
      </c>
      <c r="AV109" s="127" t="s">
        <v>162</v>
      </c>
      <c r="AW109" s="128" t="s">
        <v>868</v>
      </c>
      <c r="AX109" s="128" t="s">
        <v>873</v>
      </c>
      <c r="AY109" s="128" t="s">
        <v>870</v>
      </c>
      <c r="AZ109" s="128" t="s">
        <v>871</v>
      </c>
      <c r="BA109" s="128" t="s">
        <v>872</v>
      </c>
      <c r="BB109" s="128" t="s">
        <v>163</v>
      </c>
      <c r="BC109" s="128" t="s">
        <v>874</v>
      </c>
      <c r="BD109" s="128" t="s">
        <v>875</v>
      </c>
      <c r="BE109" s="128" t="s">
        <v>876</v>
      </c>
      <c r="BF109" s="128" t="s">
        <v>885</v>
      </c>
      <c r="BG109" s="33"/>
    </row>
    <row r="110" spans="1:59">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427</v>
      </c>
      <c r="AV110" s="88" t="s">
        <v>71</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435</v>
      </c>
      <c r="AV111" s="88" t="s">
        <v>71</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438</v>
      </c>
      <c r="AV112" s="88" t="s">
        <v>71</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442</v>
      </c>
      <c r="AV113" s="88" t="s">
        <v>71</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446</v>
      </c>
      <c r="AV114" s="88" t="s">
        <v>71</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432</v>
      </c>
      <c r="AV115" s="88" t="s">
        <v>71</v>
      </c>
      <c r="AW115" s="493">
        <f t="shared" si="115"/>
        <v>38</v>
      </c>
      <c r="AX115" s="493">
        <f t="shared" si="125"/>
        <v>60.86</v>
      </c>
      <c r="AY115" s="493">
        <f t="shared" si="126"/>
        <v>7.57</v>
      </c>
      <c r="AZ115" s="493">
        <f t="shared" si="127"/>
        <v>15.14</v>
      </c>
      <c r="BA115" s="493">
        <f t="shared" si="128"/>
        <v>-30.43</v>
      </c>
      <c r="BB115" s="493">
        <f t="shared" si="129"/>
        <v>-60.86</v>
      </c>
      <c r="BC115" s="493">
        <f t="shared" si="130"/>
        <v>0</v>
      </c>
      <c r="BD115" s="493">
        <f t="shared" si="131"/>
        <v>0</v>
      </c>
      <c r="BE115" s="493">
        <f t="shared" si="123"/>
        <v>-60.86</v>
      </c>
      <c r="BF115" s="493">
        <f t="shared" si="124"/>
        <v>-60.86</v>
      </c>
    </row>
    <row r="116" spans="1:58">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475</v>
      </c>
      <c r="AV116" s="88" t="s">
        <v>72</v>
      </c>
      <c r="AW116" s="493">
        <f t="shared" si="115"/>
        <v>2.83</v>
      </c>
      <c r="AX116" s="493">
        <f t="shared" si="125"/>
        <v>5.66</v>
      </c>
      <c r="AY116" s="493">
        <f t="shared" si="126"/>
        <v>24.81</v>
      </c>
      <c r="AZ116" s="493">
        <f t="shared" si="127"/>
        <v>82.091453920674013</v>
      </c>
      <c r="BA116" s="493">
        <f t="shared" si="128"/>
        <v>21.979999999999997</v>
      </c>
      <c r="BB116" s="493">
        <f t="shared" si="129"/>
        <v>76.431453920674016</v>
      </c>
      <c r="BC116" s="493">
        <f t="shared" si="130"/>
        <v>0</v>
      </c>
      <c r="BD116" s="493">
        <f t="shared" si="131"/>
        <v>0</v>
      </c>
      <c r="BE116" s="493">
        <f t="shared" si="123"/>
        <v>76.431453920674016</v>
      </c>
      <c r="BF116" s="493" t="str">
        <f t="shared" si="124"/>
        <v/>
      </c>
    </row>
    <row r="117" spans="1:58">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452</v>
      </c>
      <c r="AV117" s="88" t="s">
        <v>72</v>
      </c>
      <c r="AW117" s="493">
        <f t="shared" si="115"/>
        <v>0.05</v>
      </c>
      <c r="AX117" s="493">
        <f t="shared" si="125"/>
        <v>5.8000000000000003E-2</v>
      </c>
      <c r="AY117" s="493">
        <f t="shared" si="126"/>
        <v>2.1000000000000001E-2</v>
      </c>
      <c r="AZ117" s="493">
        <f t="shared" si="127"/>
        <v>4.2000000000000003E-2</v>
      </c>
      <c r="BA117" s="493">
        <f t="shared" si="128"/>
        <v>-2.9000000000000001E-2</v>
      </c>
      <c r="BB117" s="493">
        <f t="shared" si="129"/>
        <v>-5.8000000000000003E-2</v>
      </c>
      <c r="BC117" s="493">
        <f t="shared" si="130"/>
        <v>0</v>
      </c>
      <c r="BD117" s="493">
        <f t="shared" si="131"/>
        <v>0</v>
      </c>
      <c r="BE117" s="493">
        <f t="shared" si="123"/>
        <v>-5.8000000000000003E-2</v>
      </c>
      <c r="BF117" s="493">
        <f t="shared" si="124"/>
        <v>-5.8000000000000003E-2</v>
      </c>
    </row>
    <row r="118" spans="1:58">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528</v>
      </c>
      <c r="AV118" s="88" t="s">
        <v>73</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548</v>
      </c>
      <c r="AV119" s="88" t="s">
        <v>74</v>
      </c>
      <c r="AW119" s="493">
        <f>VLOOKUP($AU120,AllHabsSummaryData,5,FALSE)</f>
        <v>0.46</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588</v>
      </c>
      <c r="AV120" s="88" t="s">
        <v>75</v>
      </c>
      <c r="AW120" s="493">
        <f>VLOOKUP($AU121,AllHabsSummaryData,5,FALSE)</f>
        <v>0</v>
      </c>
      <c r="AX120" s="493">
        <f t="shared" si="125"/>
        <v>0.92</v>
      </c>
      <c r="AY120" s="493">
        <f t="shared" si="126"/>
        <v>0</v>
      </c>
      <c r="AZ120" s="493">
        <f t="shared" si="127"/>
        <v>0</v>
      </c>
      <c r="BA120" s="493">
        <f t="shared" si="128"/>
        <v>-0.46</v>
      </c>
      <c r="BB120" s="493">
        <f t="shared" si="129"/>
        <v>-0.92</v>
      </c>
      <c r="BC120" s="493">
        <f t="shared" si="130"/>
        <v>0</v>
      </c>
      <c r="BD120" s="493">
        <f t="shared" si="131"/>
        <v>0</v>
      </c>
      <c r="BE120" s="493">
        <f t="shared" si="123"/>
        <v>-0.92</v>
      </c>
      <c r="BF120" s="493">
        <f t="shared" si="124"/>
        <v>-0.92</v>
      </c>
    </row>
    <row r="121" spans="1:58">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613</v>
      </c>
      <c r="AV121" s="88" t="s">
        <v>76</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608</v>
      </c>
      <c r="AV122" s="88" t="s">
        <v>76</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628</v>
      </c>
      <c r="AV123" s="88" t="s">
        <v>76</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631</v>
      </c>
      <c r="AV124" s="88" t="s">
        <v>76</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633</v>
      </c>
      <c r="AV125" s="88" t="s">
        <v>76</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625</v>
      </c>
      <c r="AV126" s="88" t="s">
        <v>76</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638</v>
      </c>
      <c r="AV127" s="88" t="s">
        <v>76</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645</v>
      </c>
      <c r="AV128" s="88" t="s">
        <v>76</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647</v>
      </c>
      <c r="AV129" s="88" t="s">
        <v>76</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649</v>
      </c>
      <c r="AV130" s="88" t="s">
        <v>76</v>
      </c>
      <c r="AW130" s="493">
        <f t="shared" si="132"/>
        <v>0.8216</v>
      </c>
      <c r="AX130" s="493">
        <f t="shared" si="125"/>
        <v>4.0352399999999999</v>
      </c>
      <c r="AY130" s="493">
        <f t="shared" si="126"/>
        <v>3.0796000000000001</v>
      </c>
      <c r="AZ130" s="493">
        <f t="shared" si="127"/>
        <v>13.89457181573527</v>
      </c>
      <c r="BA130" s="493">
        <f t="shared" si="128"/>
        <v>2.258</v>
      </c>
      <c r="BB130" s="493">
        <f t="shared" si="129"/>
        <v>4.9832518157352705</v>
      </c>
      <c r="BC130" s="493">
        <f t="shared" si="130"/>
        <v>0</v>
      </c>
      <c r="BD130" s="493">
        <f t="shared" si="131"/>
        <v>0</v>
      </c>
      <c r="BE130" s="493">
        <f t="shared" si="123"/>
        <v>4.9832518157352705</v>
      </c>
      <c r="BF130" s="493" t="str">
        <f t="shared" si="124"/>
        <v/>
      </c>
    </row>
    <row r="131" spans="1:58">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653</v>
      </c>
      <c r="AV131" s="88" t="s">
        <v>76</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656</v>
      </c>
      <c r="AV132" s="88" t="s">
        <v>76</v>
      </c>
      <c r="AW132" s="493">
        <f t="shared" si="132"/>
        <v>0.76</v>
      </c>
      <c r="AX132" s="493">
        <f t="shared" si="125"/>
        <v>0.64</v>
      </c>
      <c r="AY132" s="493">
        <f t="shared" si="126"/>
        <v>0.44</v>
      </c>
      <c r="AZ132" s="493">
        <f t="shared" si="127"/>
        <v>0.88</v>
      </c>
      <c r="BA132" s="493">
        <f t="shared" si="128"/>
        <v>-0.32</v>
      </c>
      <c r="BB132" s="493">
        <f t="shared" si="129"/>
        <v>-0.64</v>
      </c>
      <c r="BC132" s="493">
        <f t="shared" si="130"/>
        <v>0</v>
      </c>
      <c r="BD132" s="493">
        <f t="shared" si="131"/>
        <v>0</v>
      </c>
      <c r="BE132" s="493">
        <f t="shared" si="123"/>
        <v>-0.64</v>
      </c>
      <c r="BF132" s="493">
        <f t="shared" si="124"/>
        <v>-0.64</v>
      </c>
    </row>
    <row r="133" spans="1:58">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659</v>
      </c>
      <c r="AV133" s="88" t="s">
        <v>76</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706</v>
      </c>
      <c r="AV134" s="88" t="s">
        <v>78</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769</v>
      </c>
      <c r="AV135" s="119" t="s">
        <v>80</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799</v>
      </c>
      <c r="AV136" s="88" t="s">
        <v>79</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c r="AU137" s="104" t="s">
        <v>802</v>
      </c>
      <c r="AV137" s="88" t="s">
        <v>79</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c r="AU138" s="104" t="s">
        <v>805</v>
      </c>
      <c r="AV138" s="88" t="s">
        <v>79</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c r="AU139" s="104" t="s">
        <v>808</v>
      </c>
      <c r="AV139" s="88" t="s">
        <v>79</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c r="AU140" s="104" t="s">
        <v>811</v>
      </c>
      <c r="AV140" s="88" t="s">
        <v>79</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6">
      <c r="A141" s="325" t="s">
        <v>98</v>
      </c>
      <c r="AU141" s="104" t="s">
        <v>814</v>
      </c>
      <c r="AV141" s="88" t="s">
        <v>79</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c r="AU142" s="104" t="s">
        <v>817</v>
      </c>
      <c r="AV142" s="88" t="s">
        <v>79</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c r="AU143" s="130" t="s">
        <v>826</v>
      </c>
      <c r="AV143" s="119" t="s">
        <v>886</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9">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829</v>
      </c>
      <c r="AV144" s="119" t="s">
        <v>886</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69">
      <c r="A145" s="103" t="s">
        <v>887</v>
      </c>
      <c r="B145" s="103" t="s">
        <v>162</v>
      </c>
      <c r="C145" s="103" t="s">
        <v>888</v>
      </c>
      <c r="D145" s="103" t="s">
        <v>838</v>
      </c>
      <c r="E145" s="103" t="s">
        <v>889</v>
      </c>
      <c r="F145" s="103" t="s">
        <v>840</v>
      </c>
      <c r="G145" s="103" t="s">
        <v>890</v>
      </c>
      <c r="H145" s="103" t="s">
        <v>891</v>
      </c>
      <c r="I145" s="103" t="s">
        <v>892</v>
      </c>
      <c r="J145" s="103" t="s">
        <v>844</v>
      </c>
      <c r="K145" s="103" t="s">
        <v>893</v>
      </c>
      <c r="L145" s="103" t="s">
        <v>846</v>
      </c>
      <c r="M145" s="103" t="s">
        <v>894</v>
      </c>
      <c r="N145" s="103" t="s">
        <v>848</v>
      </c>
      <c r="O145" s="103" t="s">
        <v>895</v>
      </c>
      <c r="P145" s="103" t="s">
        <v>896</v>
      </c>
      <c r="Q145" s="103" t="s">
        <v>897</v>
      </c>
      <c r="R145" s="103" t="s">
        <v>852</v>
      </c>
      <c r="S145" s="103" t="s">
        <v>898</v>
      </c>
      <c r="T145" s="103" t="s">
        <v>899</v>
      </c>
      <c r="U145" s="103" t="s">
        <v>900</v>
      </c>
      <c r="V145" s="103" t="s">
        <v>901</v>
      </c>
      <c r="W145" s="103" t="s">
        <v>902</v>
      </c>
      <c r="X145" s="103" t="s">
        <v>903</v>
      </c>
      <c r="Y145" s="103" t="s">
        <v>904</v>
      </c>
      <c r="Z145" s="103" t="s">
        <v>905</v>
      </c>
      <c r="AA145" s="103" t="s">
        <v>906</v>
      </c>
      <c r="AB145" s="103" t="s">
        <v>907</v>
      </c>
      <c r="AC145" s="103" t="s">
        <v>908</v>
      </c>
      <c r="AD145" s="103" t="s">
        <v>909</v>
      </c>
      <c r="AE145" s="103" t="s">
        <v>910</v>
      </c>
      <c r="AF145" s="103" t="s">
        <v>866</v>
      </c>
      <c r="AU145" s="326" t="s">
        <v>536</v>
      </c>
      <c r="AV145" s="327" t="s">
        <v>73</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c r="A146" s="104" t="str">
        <f>'G-6 Hedgerow Data'!B3</f>
        <v>Native Species Rich Hedgerow with trees - Associated with bank or ditch</v>
      </c>
      <c r="B146" s="88" t="s">
        <v>911</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615</v>
      </c>
      <c r="AV146" s="327" t="s">
        <v>76</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c r="A147" s="104" t="str">
        <f>'G-6 Hedgerow Data'!B4</f>
        <v>Native Species Rich Hedgerow with trees</v>
      </c>
      <c r="B147" s="88" t="s">
        <v>911</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c r="A148" s="104" t="str">
        <f>'G-6 Hedgerow Data'!B5</f>
        <v>Native Species Rich Hedgerow - Associated with bank or ditch</v>
      </c>
      <c r="B148" s="88" t="s">
        <v>911</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c r="A149" s="104" t="str">
        <f>'G-6 Hedgerow Data'!B6</f>
        <v>Native Hedgerow with trees - Associated with bank or ditch</v>
      </c>
      <c r="B149" s="88" t="s">
        <v>911</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450000000000003">
      <c r="A150" s="326" t="str">
        <f>'G-6 Hedgerow Data'!B7</f>
        <v>Native Species Rich Hedgerow</v>
      </c>
      <c r="B150" s="327" t="s">
        <v>911</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0.44400000000000001</v>
      </c>
      <c r="N150" s="591">
        <f ca="1">SUMIF('B-3 Site Hedge Enhancement'!$M$12:$M$257,'G-2 Habitat groups'!A150,'B-3 Site Hedge Enhancement'!$AH$12:$AH$257)</f>
        <v>4.3536193137312003</v>
      </c>
      <c r="O150" s="591">
        <f t="shared" si="143"/>
        <v>0.44400000000000001</v>
      </c>
      <c r="P150" s="591">
        <f t="shared" ca="1" si="144"/>
        <v>4.3536193137312003</v>
      </c>
      <c r="Q150" s="591">
        <f t="shared" si="145"/>
        <v>0.44400000000000001</v>
      </c>
      <c r="R150" s="591">
        <f t="shared" ca="1" si="146"/>
        <v>4.3536193137312003</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0.44400000000000001</v>
      </c>
      <c r="AF150" s="591">
        <f t="shared" ca="1" si="150"/>
        <v>4.3536193137312003</v>
      </c>
      <c r="AU150" s="359" t="s">
        <v>912</v>
      </c>
      <c r="AV150" s="99"/>
      <c r="AW150" s="99"/>
      <c r="AX150" s="99"/>
      <c r="AY150" s="99"/>
      <c r="AZ150" s="99"/>
      <c r="BA150" s="99"/>
      <c r="BB150" s="99"/>
      <c r="BC150" s="99"/>
      <c r="BD150" s="99"/>
      <c r="BE150" s="99"/>
      <c r="BF150" s="99"/>
      <c r="BG150" s="121"/>
    </row>
    <row r="151" spans="1:59" ht="31.15">
      <c r="A151" s="326" t="str">
        <f>'G-6 Hedgerow Data'!B8</f>
        <v>Native Hedgerow - Associated with bank or ditch</v>
      </c>
      <c r="B151" s="327" t="s">
        <v>911</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175</v>
      </c>
      <c r="AV151" s="88" t="s">
        <v>162</v>
      </c>
      <c r="AW151" s="120" t="s">
        <v>868</v>
      </c>
      <c r="AX151" s="120" t="s">
        <v>873</v>
      </c>
      <c r="AY151" s="120" t="s">
        <v>870</v>
      </c>
      <c r="AZ151" s="120" t="s">
        <v>871</v>
      </c>
      <c r="BA151" s="120" t="s">
        <v>872</v>
      </c>
      <c r="BB151" s="120" t="s">
        <v>163</v>
      </c>
      <c r="BC151" s="120" t="s">
        <v>874</v>
      </c>
      <c r="BD151" s="128" t="s">
        <v>875</v>
      </c>
      <c r="BE151" s="120" t="s">
        <v>876</v>
      </c>
      <c r="BF151" s="128" t="s">
        <v>885</v>
      </c>
    </row>
    <row r="152" spans="1:59">
      <c r="A152" s="104" t="str">
        <f>'G-6 Hedgerow Data'!B9</f>
        <v>Native Hedgerow with trees</v>
      </c>
      <c r="B152" s="88" t="s">
        <v>911</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610</v>
      </c>
      <c r="AV152" s="88" t="s">
        <v>76</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c r="A153" s="104" t="str">
        <f>'G-6 Hedgerow Data'!B10</f>
        <v>Line of Trees (Ecologically Valuable)</v>
      </c>
      <c r="B153" s="88" t="s">
        <v>911</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618</v>
      </c>
      <c r="AV153" s="88" t="s">
        <v>76</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c r="A154" s="104" t="str">
        <f>'G-6 Hedgerow Data'!B11</f>
        <v>Line of Trees (Ecologically Valuable) - with Bank or Ditch</v>
      </c>
      <c r="B154" s="88" t="s">
        <v>911</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622</v>
      </c>
      <c r="AV154" s="88" t="s">
        <v>76</v>
      </c>
      <c r="AW154" s="493">
        <f>VLOOKUP($AU154,AllHabsSummaryData,5,FALSE)</f>
        <v>0.04</v>
      </c>
      <c r="AX154" s="493">
        <f>VLOOKUP($AU154,AllHabsSummaryData,10,FALSE)</f>
        <v>0</v>
      </c>
      <c r="AY154" s="493">
        <f>VLOOKUP($AU154,AllHabsSummaryData,15,FALSE)</f>
        <v>0</v>
      </c>
      <c r="AZ154" s="493">
        <f>VLOOKUP($AU154,AllHabsSummaryData,16,FALSE)</f>
        <v>0</v>
      </c>
      <c r="BA154" s="493">
        <f>VLOOKUP($AU154,AllHabsSummaryData,17,FALSE)</f>
        <v>-0.04</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c r="A155" s="104" t="str">
        <f>'G-6 Hedgerow Data'!B12</f>
        <v>Native Hedgerow</v>
      </c>
      <c r="B155" s="88" t="s">
        <v>911</v>
      </c>
      <c r="C155" s="88" t="str">
        <f>'G-6 Hedgerow Data'!C12</f>
        <v>Low</v>
      </c>
      <c r="D155" s="88" t="str">
        <f>'G-6 Hedgerow Data'!AH12</f>
        <v>Same distinctiveness band or better</v>
      </c>
      <c r="E155" s="493">
        <f>SUMIF('B-1 Site Hedge Baseline'!$D$10:$D$257,'G-2 Habitat groups'!A155,'B-1 Site Hedge Baseline'!$E$10:$E$257)</f>
        <v>0.68399999999999994</v>
      </c>
      <c r="F155" s="493">
        <f>SUMIF('B-1 Site Hedge Baseline'!$D$10:$D$257,'G-2 Habitat groups'!A155,'B-1 Site Hedge Baseline'!$N$10:$N$257)</f>
        <v>2.7359999999999998</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0.24</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-0.68399999999999994</v>
      </c>
      <c r="R155" s="493">
        <f t="shared" si="146"/>
        <v>-2.7359999999999998</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-0.68399999999999994</v>
      </c>
      <c r="AF155" s="493">
        <f t="shared" si="150"/>
        <v>-2.7359999999999998</v>
      </c>
      <c r="AU155" s="104" t="s">
        <v>655</v>
      </c>
      <c r="AV155" s="88" t="s">
        <v>76</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c r="A156" s="104" t="str">
        <f>'G-6 Hedgerow Data'!B13</f>
        <v>Line of Trees</v>
      </c>
      <c r="B156" s="88" t="s">
        <v>911</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0.69</v>
      </c>
      <c r="L156" s="493">
        <f>SUMIF('B-2 Site Hedge Creation'!$D$12:$D$259,'G-2 Habitat groups'!A156,'B-2 Site Hedge Creation'!$W$12:$W$259)</f>
        <v>1.3239584874539998</v>
      </c>
      <c r="M156" s="493">
        <f>SUMIF('B-3 Site Hedge Enhancement'!$M$12:$M$257,'G-2 Habitat groups'!A156,'B-3 Site Hedge Enhancement'!$P$12:$P$257)</f>
        <v>0</v>
      </c>
      <c r="N156" s="493">
        <f>SUMIF('B-3 Site Hedge Enhancement'!$M$12:$M$257,'G-2 Habitat groups'!A156,'B-3 Site Hedge Enhancement'!$AH$12:$AH$257)</f>
        <v>0</v>
      </c>
      <c r="O156" s="493">
        <f t="shared" si="143"/>
        <v>0.69</v>
      </c>
      <c r="P156" s="493">
        <f t="shared" si="144"/>
        <v>1.3239584874539998</v>
      </c>
      <c r="Q156" s="493">
        <f t="shared" si="145"/>
        <v>0.69</v>
      </c>
      <c r="R156" s="493">
        <f t="shared" si="146"/>
        <v>1.3239584874539998</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0.69</v>
      </c>
      <c r="AF156" s="493">
        <f t="shared" si="150"/>
        <v>1.3239584874539998</v>
      </c>
    </row>
    <row r="157" spans="1:59">
      <c r="A157" s="104" t="str">
        <f>'G-6 Hedgerow Data'!B14</f>
        <v>Line of Trees - Associated with bank or ditch</v>
      </c>
      <c r="B157" s="88" t="s">
        <v>911</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c r="A158" s="104" t="str">
        <f>'G-6 Hedgerow Data'!B15</f>
        <v>Hedge Ornamental Non Native</v>
      </c>
      <c r="B158" s="88" t="s">
        <v>911</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6">
      <c r="A163" s="325" t="s">
        <v>138</v>
      </c>
    </row>
    <row r="166" spans="1:32" ht="22.9">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69">
      <c r="A167" s="103" t="s">
        <v>913</v>
      </c>
      <c r="B167" s="103" t="s">
        <v>162</v>
      </c>
      <c r="C167" s="103" t="s">
        <v>888</v>
      </c>
      <c r="D167" s="103" t="s">
        <v>838</v>
      </c>
      <c r="E167" s="103" t="s">
        <v>889</v>
      </c>
      <c r="F167" s="103" t="s">
        <v>840</v>
      </c>
      <c r="G167" s="103" t="s">
        <v>890</v>
      </c>
      <c r="H167" s="103" t="s">
        <v>891</v>
      </c>
      <c r="I167" s="103" t="s">
        <v>892</v>
      </c>
      <c r="J167" s="103" t="s">
        <v>844</v>
      </c>
      <c r="K167" s="103" t="s">
        <v>893</v>
      </c>
      <c r="L167" s="103" t="s">
        <v>846</v>
      </c>
      <c r="M167" s="103" t="s">
        <v>894</v>
      </c>
      <c r="N167" s="103" t="s">
        <v>848</v>
      </c>
      <c r="O167" s="103" t="s">
        <v>895</v>
      </c>
      <c r="P167" s="103" t="s">
        <v>896</v>
      </c>
      <c r="Q167" s="103" t="s">
        <v>897</v>
      </c>
      <c r="R167" s="103" t="s">
        <v>852</v>
      </c>
      <c r="S167" s="103" t="s">
        <v>898</v>
      </c>
      <c r="T167" s="103" t="s">
        <v>899</v>
      </c>
      <c r="U167" s="103" t="s">
        <v>900</v>
      </c>
      <c r="V167" s="103" t="s">
        <v>901</v>
      </c>
      <c r="W167" s="103" t="s">
        <v>902</v>
      </c>
      <c r="X167" s="103" t="s">
        <v>903</v>
      </c>
      <c r="Y167" s="103" t="s">
        <v>904</v>
      </c>
      <c r="Z167" s="103" t="s">
        <v>905</v>
      </c>
      <c r="AA167" s="103" t="s">
        <v>906</v>
      </c>
      <c r="AB167" s="103" t="s">
        <v>907</v>
      </c>
      <c r="AC167" s="103" t="s">
        <v>908</v>
      </c>
      <c r="AD167" s="103" t="s">
        <v>909</v>
      </c>
      <c r="AE167" s="103" t="s">
        <v>910</v>
      </c>
      <c r="AF167" s="103" t="s">
        <v>866</v>
      </c>
    </row>
    <row r="168" spans="1:32">
      <c r="A168" s="104" t="str">
        <f>'G-7 Rivers Data'!B4</f>
        <v>Priority Habitat</v>
      </c>
      <c r="B168" s="88" t="s">
        <v>914</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c r="A169" s="104" t="str">
        <f>'G-7 Rivers Data'!B5</f>
        <v>Other Rivers and Streams</v>
      </c>
      <c r="B169" s="88" t="s">
        <v>914</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c r="A170" s="104" t="str">
        <f>'G-7 Rivers Data'!B6</f>
        <v>Ditches</v>
      </c>
      <c r="B170" s="88" t="s">
        <v>914</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c r="A171" s="104" t="str">
        <f>'G-7 Rivers Data'!B7</f>
        <v>Canals</v>
      </c>
      <c r="B171" s="88" t="s">
        <v>914</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c r="A172" s="104" t="str">
        <f>'G-7 Rivers Data'!B8</f>
        <v>Culvert</v>
      </c>
      <c r="B172" s="88" t="s">
        <v>914</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3.9" zeroHeight="1"/>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c r="A1" s="825" t="s">
        <v>915</v>
      </c>
      <c r="B1" s="826"/>
      <c r="C1" s="826"/>
      <c r="D1" s="826"/>
      <c r="E1" s="827"/>
      <c r="J1" s="285"/>
      <c r="L1" s="825" t="s">
        <v>916</v>
      </c>
      <c r="M1" s="826"/>
      <c r="N1" s="827"/>
      <c r="P1" s="825" t="s">
        <v>324</v>
      </c>
      <c r="Q1" s="827"/>
    </row>
    <row r="2" spans="1:26" ht="42" customHeight="1" thickBot="1">
      <c r="A2" s="286" t="s">
        <v>837</v>
      </c>
      <c r="B2" s="200" t="s">
        <v>393</v>
      </c>
      <c r="C2" s="200" t="s">
        <v>357</v>
      </c>
      <c r="D2" s="200" t="s">
        <v>394</v>
      </c>
      <c r="E2" s="286" t="s">
        <v>357</v>
      </c>
      <c r="H2" s="1048" t="s">
        <v>917</v>
      </c>
      <c r="I2" s="1049"/>
      <c r="J2" s="1050"/>
      <c r="L2" s="1045" t="s">
        <v>918</v>
      </c>
      <c r="M2" s="1046"/>
      <c r="N2" s="1047"/>
      <c r="P2" s="286" t="s">
        <v>919</v>
      </c>
      <c r="Q2" s="286" t="s">
        <v>920</v>
      </c>
      <c r="S2" s="863" t="s">
        <v>921</v>
      </c>
      <c r="T2" s="876"/>
      <c r="W2" s="825" t="s">
        <v>922</v>
      </c>
      <c r="X2" s="826"/>
      <c r="Y2" s="826"/>
      <c r="Z2" s="827"/>
    </row>
    <row r="3" spans="1:26">
      <c r="A3" s="110" t="str">
        <f>'G-1 All Habitats'!B99</f>
        <v>Coastal lagoons - Coastal lagoons</v>
      </c>
      <c r="B3" s="543" t="str">
        <f>'G-1 All Habitats'!N99</f>
        <v>Medium</v>
      </c>
      <c r="C3" s="543">
        <f>'G-1 All Habitats'!O99</f>
        <v>0.67</v>
      </c>
      <c r="D3" s="543" t="str">
        <f>'G-1 All Habitats'!P99</f>
        <v>Medium</v>
      </c>
      <c r="E3" s="543">
        <f>'G-1 All Habitats'!Q99</f>
        <v>0.67</v>
      </c>
      <c r="H3" s="103" t="s">
        <v>208</v>
      </c>
      <c r="I3" s="279" t="s">
        <v>923</v>
      </c>
      <c r="J3" s="279" t="s">
        <v>924</v>
      </c>
      <c r="L3" s="279" t="s">
        <v>923</v>
      </c>
      <c r="M3" s="103" t="s">
        <v>925</v>
      </c>
      <c r="N3" s="279" t="s">
        <v>357</v>
      </c>
      <c r="P3" s="130" t="s">
        <v>158</v>
      </c>
      <c r="Q3" s="543">
        <v>1</v>
      </c>
      <c r="S3" s="286" t="s">
        <v>68</v>
      </c>
      <c r="T3" s="286" t="s">
        <v>357</v>
      </c>
      <c r="W3" s="286" t="s">
        <v>18</v>
      </c>
      <c r="X3" s="286" t="s">
        <v>926</v>
      </c>
      <c r="Y3" s="286" t="s">
        <v>927</v>
      </c>
      <c r="Z3" s="286" t="s">
        <v>928</v>
      </c>
    </row>
    <row r="4" spans="1:26" ht="41.4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155</v>
      </c>
      <c r="I4" s="147" t="s">
        <v>929</v>
      </c>
      <c r="J4" s="188">
        <v>1.1499999999999999</v>
      </c>
      <c r="L4" s="130" t="s">
        <v>930</v>
      </c>
      <c r="M4" s="519" t="s">
        <v>931</v>
      </c>
      <c r="N4" s="543">
        <v>1.1499999999999999</v>
      </c>
      <c r="P4" s="130" t="s">
        <v>25</v>
      </c>
      <c r="Q4" s="543">
        <v>0.67</v>
      </c>
      <c r="S4" s="130" t="s">
        <v>932</v>
      </c>
      <c r="T4" s="519">
        <v>1</v>
      </c>
      <c r="W4" s="104" t="s">
        <v>24</v>
      </c>
      <c r="X4" s="543">
        <v>0.3</v>
      </c>
      <c r="Y4" s="543">
        <f>X4*12</f>
        <v>3.5999999999999996</v>
      </c>
      <c r="Z4" s="657">
        <f>3.14*(Y4*Y4)/10000</f>
        <v>4.0694399999999997E-3</v>
      </c>
    </row>
    <row r="5" spans="1:26" ht="41.45">
      <c r="A5" s="110" t="str">
        <f>'G-1 All Habitats'!B3</f>
        <v>Cropland - Arable field margins cultivated annually</v>
      </c>
      <c r="B5" s="543" t="str">
        <f>'G-1 All Habitats'!N3</f>
        <v>Low</v>
      </c>
      <c r="C5" s="543">
        <f>'G-1 All Habitats'!O3</f>
        <v>1</v>
      </c>
      <c r="D5" s="543" t="str">
        <f>'G-1 All Habitats'!P3</f>
        <v>Low</v>
      </c>
      <c r="E5" s="543">
        <f>'G-1 All Habitats'!Q3</f>
        <v>1</v>
      </c>
      <c r="H5" s="130" t="s">
        <v>25</v>
      </c>
      <c r="I5" s="147" t="s">
        <v>933</v>
      </c>
      <c r="J5" s="188">
        <v>1.1000000000000001</v>
      </c>
      <c r="L5" s="130" t="s">
        <v>227</v>
      </c>
      <c r="M5" s="519" t="s">
        <v>934</v>
      </c>
      <c r="N5" s="543">
        <v>1.1000000000000001</v>
      </c>
      <c r="P5" s="130" t="s">
        <v>155</v>
      </c>
      <c r="Q5" s="543">
        <v>0.33</v>
      </c>
      <c r="S5" s="130" t="s">
        <v>935</v>
      </c>
      <c r="T5" s="519">
        <v>0.75</v>
      </c>
      <c r="W5" s="104" t="s">
        <v>25</v>
      </c>
      <c r="X5" s="543">
        <v>0.9</v>
      </c>
      <c r="Y5" s="543">
        <f t="shared" ref="Y5:Y6" si="0">X5*12</f>
        <v>10.8</v>
      </c>
      <c r="Z5" s="657">
        <f t="shared" ref="Z5:Z6" si="1">3.14*(Y5*Y5)/10000</f>
        <v>3.6624960000000005E-2</v>
      </c>
    </row>
    <row r="6" spans="1:26" ht="41.45">
      <c r="A6" s="110" t="str">
        <f>'G-1 All Habitats'!B4</f>
        <v>Cropland - Arable field margins game bird mix</v>
      </c>
      <c r="B6" s="543" t="str">
        <f>'G-1 All Habitats'!N4</f>
        <v>Low</v>
      </c>
      <c r="C6" s="543">
        <f>'G-1 All Habitats'!O4</f>
        <v>1</v>
      </c>
      <c r="D6" s="543" t="str">
        <f>'G-1 All Habitats'!P4</f>
        <v>Low</v>
      </c>
      <c r="E6" s="543">
        <f>'G-1 All Habitats'!Q4</f>
        <v>1</v>
      </c>
      <c r="H6" s="287" t="s">
        <v>158</v>
      </c>
      <c r="I6" s="147" t="s">
        <v>936</v>
      </c>
      <c r="J6" s="188">
        <v>1</v>
      </c>
      <c r="L6" s="130" t="s">
        <v>232</v>
      </c>
      <c r="M6" s="519" t="s">
        <v>937</v>
      </c>
      <c r="N6" s="543">
        <v>1</v>
      </c>
      <c r="P6" s="130" t="s">
        <v>153</v>
      </c>
      <c r="Q6" s="543">
        <v>0.1</v>
      </c>
      <c r="S6" s="337" t="s">
        <v>938</v>
      </c>
      <c r="T6" s="519">
        <v>0.5</v>
      </c>
      <c r="W6" s="104" t="s">
        <v>26</v>
      </c>
      <c r="X6" s="543">
        <v>1.3</v>
      </c>
      <c r="Y6" s="543">
        <f t="shared" si="0"/>
        <v>15.600000000000001</v>
      </c>
      <c r="Z6" s="657">
        <f t="shared" si="1"/>
        <v>7.6415040000000017E-2</v>
      </c>
    </row>
    <row r="7" spans="1:26" ht="49.9" customHeight="1">
      <c r="A7" s="110" t="str">
        <f>'G-1 All Habitats'!B5</f>
        <v>Cropland - Arable field margins pollen &amp; nectar</v>
      </c>
      <c r="B7" s="543" t="str">
        <f>'G-1 All Habitats'!N5</f>
        <v>Low</v>
      </c>
      <c r="C7" s="543">
        <f>'G-1 All Habitats'!O5</f>
        <v>1</v>
      </c>
      <c r="D7" s="543" t="str">
        <f>'G-1 All Habitats'!P5</f>
        <v>Low</v>
      </c>
      <c r="E7" s="543">
        <f>'G-1 All Habitats'!Q5</f>
        <v>1</v>
      </c>
      <c r="H7" s="287" t="s">
        <v>939</v>
      </c>
      <c r="I7" s="147" t="s">
        <v>940</v>
      </c>
      <c r="J7" s="188">
        <v>1</v>
      </c>
      <c r="S7" s="338" t="s">
        <v>941</v>
      </c>
      <c r="T7" s="519">
        <v>1</v>
      </c>
    </row>
    <row r="8" spans="1:26" ht="49.9" customHeight="1">
      <c r="A8" s="110" t="str">
        <f>'G-1 All Habitats'!B6</f>
        <v>Cropland - Arable field margins tussocky</v>
      </c>
      <c r="B8" s="543" t="str">
        <f>'G-1 All Habitats'!N6</f>
        <v>Low</v>
      </c>
      <c r="C8" s="543">
        <f>'G-1 All Habitats'!O6</f>
        <v>1</v>
      </c>
      <c r="D8" s="543" t="str">
        <f>'G-1 All Habitats'!P6</f>
        <v>Low</v>
      </c>
      <c r="E8" s="543">
        <f>'G-1 All Habitats'!Q6</f>
        <v>1</v>
      </c>
      <c r="S8" s="338" t="s">
        <v>942</v>
      </c>
      <c r="T8" s="519">
        <v>0.75</v>
      </c>
    </row>
    <row r="9" spans="1:26" ht="49.9" customHeight="1">
      <c r="A9" s="110" t="str">
        <f>'G-1 All Habitats'!B7</f>
        <v>Cropland - Cereal crops</v>
      </c>
      <c r="B9" s="543" t="str">
        <f>'G-1 All Habitats'!N7</f>
        <v>Low</v>
      </c>
      <c r="C9" s="543">
        <f>'G-1 All Habitats'!O7</f>
        <v>1</v>
      </c>
      <c r="D9" s="543" t="str">
        <f>'G-1 All Habitats'!P7</f>
        <v>Low</v>
      </c>
      <c r="E9" s="543">
        <f>'G-1 All Habitats'!Q7</f>
        <v>1</v>
      </c>
      <c r="S9" s="338" t="s">
        <v>943</v>
      </c>
      <c r="T9" s="519">
        <v>0.5</v>
      </c>
    </row>
    <row r="10" spans="1:26">
      <c r="A10" s="110" t="str">
        <f>'G-1 All Habitats'!B8</f>
        <v>Cropland - Cereal crops winter stubble</v>
      </c>
      <c r="B10" s="543" t="str">
        <f>'G-1 All Habitats'!N8</f>
        <v>Low</v>
      </c>
      <c r="C10" s="543">
        <f>'G-1 All Habitats'!O8</f>
        <v>1</v>
      </c>
      <c r="D10" s="543" t="str">
        <f>'G-1 All Habitats'!P8</f>
        <v>Low</v>
      </c>
      <c r="E10" s="543">
        <f>'G-1 All Habitats'!Q8</f>
        <v>1</v>
      </c>
    </row>
    <row r="11" spans="1:26">
      <c r="A11" s="110" t="str">
        <f>'G-1 All Habitats'!B9</f>
        <v>Cropland - Horticulture</v>
      </c>
      <c r="B11" s="543" t="str">
        <f>'G-1 All Habitats'!N9</f>
        <v>Low</v>
      </c>
      <c r="C11" s="543">
        <f>'G-1 All Habitats'!O9</f>
        <v>1</v>
      </c>
      <c r="D11" s="543" t="str">
        <f>'G-1 All Habitats'!P9</f>
        <v>Low</v>
      </c>
      <c r="E11" s="543">
        <f>'G-1 All Habitats'!Q9</f>
        <v>1</v>
      </c>
    </row>
    <row r="12" spans="1:26">
      <c r="A12" s="110" t="str">
        <f>'G-1 All Habitats'!B10</f>
        <v>Cropland - Intensive orchards</v>
      </c>
      <c r="B12" s="543" t="str">
        <f>'G-1 All Habitats'!N10</f>
        <v>Low</v>
      </c>
      <c r="C12" s="543">
        <f>'G-1 All Habitats'!O10</f>
        <v>1</v>
      </c>
      <c r="D12" s="543" t="str">
        <f>'G-1 All Habitats'!P10</f>
        <v>Low</v>
      </c>
      <c r="E12" s="543">
        <f>'G-1 All Habitats'!Q10</f>
        <v>1</v>
      </c>
    </row>
    <row r="13" spans="1:26">
      <c r="A13" s="110" t="str">
        <f>'G-1 All Habitats'!B11</f>
        <v>Cropland - Non-cereal crops</v>
      </c>
      <c r="B13" s="543" t="str">
        <f>'G-1 All Habitats'!N11</f>
        <v>Low</v>
      </c>
      <c r="C13" s="543">
        <f>'G-1 All Habitats'!O11</f>
        <v>1</v>
      </c>
      <c r="D13" s="543" t="str">
        <f>'G-1 All Habitats'!P11</f>
        <v>Low</v>
      </c>
      <c r="E13" s="543">
        <f>'G-1 All Habitats'!Q11</f>
        <v>1</v>
      </c>
    </row>
    <row r="14" spans="1:26">
      <c r="A14" s="110" t="str">
        <f>'G-1 All Habitats'!B12</f>
        <v>Cropland - Temporary grass and clover leys</v>
      </c>
      <c r="B14" s="543" t="str">
        <f>'G-1 All Habitats'!N12</f>
        <v>Low</v>
      </c>
      <c r="C14" s="543">
        <f>'G-1 All Habitats'!O12</f>
        <v>1</v>
      </c>
      <c r="D14" s="543" t="str">
        <f>'G-1 All Habitats'!P12</f>
        <v>Low</v>
      </c>
      <c r="E14" s="543">
        <f>'G-1 All Habitats'!Q12</f>
        <v>1</v>
      </c>
    </row>
    <row r="15" spans="1:26">
      <c r="A15" s="110" t="str">
        <f>'G-1 All Habitats'!B13</f>
        <v>Grassland - Traditional orchards</v>
      </c>
      <c r="B15" s="543" t="str">
        <f>'G-1 All Habitats'!N13</f>
        <v>Low</v>
      </c>
      <c r="C15" s="543">
        <f>'G-1 All Habitats'!O13</f>
        <v>1</v>
      </c>
      <c r="D15" s="543" t="str">
        <f>'G-1 All Habitats'!P13</f>
        <v>Medium</v>
      </c>
      <c r="E15" s="543">
        <f>'G-1 All Habitats'!Q13</f>
        <v>0.67</v>
      </c>
    </row>
    <row r="16" spans="1:26">
      <c r="A16" s="110" t="str">
        <f>'G-1 All Habitats'!B14</f>
        <v>Grassland - Bracken</v>
      </c>
      <c r="B16" s="543" t="str">
        <f>'G-1 All Habitats'!N14</f>
        <v>Low</v>
      </c>
      <c r="C16" s="543">
        <f>'G-1 All Habitats'!O14</f>
        <v>1</v>
      </c>
      <c r="D16" s="543" t="str">
        <f>'G-1 All Habitats'!P14</f>
        <v>Low</v>
      </c>
      <c r="E16" s="543">
        <f>'G-1 All Habitats'!Q14</f>
        <v>1</v>
      </c>
    </row>
    <row r="17" spans="1: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c r="A19" s="110" t="str">
        <f>'G-1 All Habitats'!B17</f>
        <v>Grassland - Lowland dry acid grassland</v>
      </c>
      <c r="B19" s="543" t="str">
        <f>'G-1 All Habitats'!N17</f>
        <v>High</v>
      </c>
      <c r="C19" s="543">
        <f>'G-1 All Habitats'!O17</f>
        <v>0.33</v>
      </c>
      <c r="D19" s="543" t="str">
        <f>'G-1 All Habitats'!P17</f>
        <v>High</v>
      </c>
      <c r="E19" s="543">
        <f>'G-1 All Habitats'!Q17</f>
        <v>0.33</v>
      </c>
    </row>
    <row r="20" spans="1:5">
      <c r="A20" s="110" t="str">
        <f>'G-1 All Habitats'!B18</f>
        <v>Grassland - Lowland meadows</v>
      </c>
      <c r="B20" s="543" t="str">
        <f>'G-1 All Habitats'!N18</f>
        <v>High</v>
      </c>
      <c r="C20" s="543">
        <f>'G-1 All Habitats'!O18</f>
        <v>0.33</v>
      </c>
      <c r="D20" s="543" t="str">
        <f>'G-1 All Habitats'!P18</f>
        <v>Medium</v>
      </c>
      <c r="E20" s="543">
        <f>'G-1 All Habitats'!Q18</f>
        <v>0.67</v>
      </c>
    </row>
    <row r="21" spans="1:5">
      <c r="A21" s="110" t="str">
        <f>'G-1 All Habitats'!B19</f>
        <v>Grassland - Modified grassland</v>
      </c>
      <c r="B21" s="543" t="str">
        <f>'G-1 All Habitats'!N19</f>
        <v>Low</v>
      </c>
      <c r="C21" s="543">
        <f>'G-1 All Habitats'!O19</f>
        <v>1</v>
      </c>
      <c r="D21" s="543" t="str">
        <f>'G-1 All Habitats'!P19</f>
        <v>Low</v>
      </c>
      <c r="E21" s="543">
        <f>'G-1 All Habitats'!Q19</f>
        <v>1</v>
      </c>
    </row>
    <row r="22" spans="1:5">
      <c r="A22" s="110" t="str">
        <f>'G-1 All Habitats'!B20</f>
        <v>Grassland - Other lowland acid grassland</v>
      </c>
      <c r="B22" s="543" t="str">
        <f>'G-1 All Habitats'!N20</f>
        <v>Low</v>
      </c>
      <c r="C22" s="543">
        <f>'G-1 All Habitats'!O20</f>
        <v>1</v>
      </c>
      <c r="D22" s="543" t="str">
        <f>'G-1 All Habitats'!P20</f>
        <v>Low</v>
      </c>
      <c r="E22" s="543">
        <f>'G-1 All Habitats'!Q20</f>
        <v>1</v>
      </c>
    </row>
    <row r="23" spans="1:5">
      <c r="A23" s="110" t="str">
        <f>'G-1 All Habitats'!B21</f>
        <v>Grassland - Other neutral grassland</v>
      </c>
      <c r="B23" s="543" t="str">
        <f>'G-1 All Habitats'!N21</f>
        <v>Low</v>
      </c>
      <c r="C23" s="543">
        <f>'G-1 All Habitats'!O21</f>
        <v>1</v>
      </c>
      <c r="D23" s="543" t="str">
        <f>'G-1 All Habitats'!P21</f>
        <v>Low</v>
      </c>
      <c r="E23" s="543">
        <f>'G-1 All Habitats'!Q21</f>
        <v>1</v>
      </c>
    </row>
    <row r="24" spans="1:5">
      <c r="A24" s="110" t="str">
        <f>'G-1 All Habitats'!B22</f>
        <v>Grassland - Tall herb communities (H6430)</v>
      </c>
      <c r="B24" s="543" t="str">
        <f>'G-1 All Habitats'!N22</f>
        <v>High</v>
      </c>
      <c r="C24" s="543">
        <f>'G-1 All Habitats'!O22</f>
        <v>0.33</v>
      </c>
      <c r="D24" s="543" t="str">
        <f>'G-1 All Habitats'!P22</f>
        <v>High</v>
      </c>
      <c r="E24" s="543">
        <f>'G-1 All Habitats'!Q22</f>
        <v>0.33</v>
      </c>
    </row>
    <row r="25" spans="1:5">
      <c r="A25" s="110" t="str">
        <f>'G-1 All Habitats'!B23</f>
        <v>Grassland - Upland acid grassland</v>
      </c>
      <c r="B25" s="543" t="str">
        <f>'G-1 All Habitats'!N23</f>
        <v>Low</v>
      </c>
      <c r="C25" s="543">
        <f>'G-1 All Habitats'!O23</f>
        <v>1</v>
      </c>
      <c r="D25" s="543" t="str">
        <f>'G-1 All Habitats'!P23</f>
        <v>Low</v>
      </c>
      <c r="E25" s="543">
        <f>'G-1 All Habitats'!Q23</f>
        <v>1</v>
      </c>
    </row>
    <row r="26" spans="1:5">
      <c r="A26" s="110" t="str">
        <f>'G-1 All Habitats'!B24</f>
        <v>Grassland - Upland calcareous grassland</v>
      </c>
      <c r="B26" s="543" t="str">
        <f>'G-1 All Habitats'!N24</f>
        <v>High</v>
      </c>
      <c r="C26" s="543">
        <f>'G-1 All Habitats'!O24</f>
        <v>0.33</v>
      </c>
      <c r="D26" s="543" t="str">
        <f>'G-1 All Habitats'!P24</f>
        <v>High</v>
      </c>
      <c r="E26" s="543">
        <f>'G-1 All Habitats'!Q24</f>
        <v>0.33</v>
      </c>
    </row>
    <row r="27" spans="1:5">
      <c r="A27" s="110" t="str">
        <f>'G-1 All Habitats'!B25</f>
        <v>Grassland - Upland hay meadows</v>
      </c>
      <c r="B27" s="543" t="str">
        <f>'G-1 All Habitats'!N25</f>
        <v>High</v>
      </c>
      <c r="C27" s="543">
        <f>'G-1 All Habitats'!O25</f>
        <v>0.33</v>
      </c>
      <c r="D27" s="543" t="str">
        <f>'G-1 All Habitats'!P25</f>
        <v>Medium</v>
      </c>
      <c r="E27" s="543">
        <f>'G-1 All Habitats'!Q25</f>
        <v>0.67</v>
      </c>
    </row>
    <row r="28" spans="1:5">
      <c r="A28" s="110" t="str">
        <f>'G-1 All Habitats'!B26</f>
        <v>Heathland and shrub - Blackthorn scrub</v>
      </c>
      <c r="B28" s="543" t="str">
        <f>'G-1 All Habitats'!N26</f>
        <v>Low</v>
      </c>
      <c r="C28" s="543">
        <f>'G-1 All Habitats'!O26</f>
        <v>1</v>
      </c>
      <c r="D28" s="543" t="str">
        <f>'G-1 All Habitats'!P26</f>
        <v>Low</v>
      </c>
      <c r="E28" s="543">
        <f>'G-1 All Habitats'!Q26</f>
        <v>1</v>
      </c>
    </row>
    <row r="29" spans="1:5">
      <c r="A29" s="110" t="str">
        <f>'G-1 All Habitats'!B27</f>
        <v>Heathland and shrub - Bramble scrub</v>
      </c>
      <c r="B29" s="543" t="str">
        <f>'G-1 All Habitats'!N27</f>
        <v>Low</v>
      </c>
      <c r="C29" s="543">
        <f>'G-1 All Habitats'!O27</f>
        <v>1</v>
      </c>
      <c r="D29" s="543" t="str">
        <f>'G-1 All Habitats'!P27</f>
        <v>Low</v>
      </c>
      <c r="E29" s="543">
        <f>'G-1 All Habitats'!Q27</f>
        <v>1</v>
      </c>
    </row>
    <row r="30" spans="1:5">
      <c r="A30" s="110" t="str">
        <f>'G-1 All Habitats'!B28</f>
        <v>Heathland and shrub - Gorse scrub</v>
      </c>
      <c r="B30" s="543" t="str">
        <f>'G-1 All Habitats'!N28</f>
        <v>Low</v>
      </c>
      <c r="C30" s="543">
        <f>'G-1 All Habitats'!O28</f>
        <v>1</v>
      </c>
      <c r="D30" s="543" t="str">
        <f>'G-1 All Habitats'!P28</f>
        <v>Low</v>
      </c>
      <c r="E30" s="543">
        <f>'G-1 All Habitats'!Q28</f>
        <v>1</v>
      </c>
    </row>
    <row r="31" spans="1:5">
      <c r="A31" s="110" t="str">
        <f>'G-1 All Habitats'!B29</f>
        <v>Heathland and shrub - Hawthorn scrub</v>
      </c>
      <c r="B31" s="543" t="str">
        <f>'G-1 All Habitats'!N29</f>
        <v>Low</v>
      </c>
      <c r="C31" s="543">
        <f>'G-1 All Habitats'!O29</f>
        <v>1</v>
      </c>
      <c r="D31" s="543" t="str">
        <f>'G-1 All Habitats'!P29</f>
        <v>Low</v>
      </c>
      <c r="E31" s="543">
        <f>'G-1 All Habitats'!Q29</f>
        <v>1</v>
      </c>
    </row>
    <row r="32" spans="1:5">
      <c r="A32" s="110" t="str">
        <f>'G-1 All Habitats'!B30</f>
        <v>Heathland and shrub - Hazel scrub</v>
      </c>
      <c r="B32" s="543" t="s">
        <v>25</v>
      </c>
      <c r="C32" s="543">
        <f>'G-1 All Habitats'!O30</f>
        <v>1</v>
      </c>
      <c r="D32" s="543" t="s">
        <v>25</v>
      </c>
      <c r="E32" s="543">
        <f>'G-1 All Habitats'!Q30</f>
        <v>1</v>
      </c>
    </row>
    <row r="33" spans="1: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c r="A34" s="110" t="str">
        <f>'G-1 All Habitats'!B32</f>
        <v>Heathland and shrub - Mixed scrub</v>
      </c>
      <c r="B34" s="543" t="str">
        <f>'G-1 All Habitats'!N32</f>
        <v>Low</v>
      </c>
      <c r="C34" s="543">
        <f>'G-1 All Habitats'!O32</f>
        <v>1</v>
      </c>
      <c r="D34" s="543" t="str">
        <f>'G-1 All Habitats'!P32</f>
        <v>Low</v>
      </c>
      <c r="E34" s="543">
        <f>'G-1 All Habitats'!Q32</f>
        <v>1</v>
      </c>
    </row>
    <row r="35" spans="1: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c r="A36" s="110" t="str">
        <f>'G-1 All Habitats'!B34</f>
        <v>Heathland and shrub - Rhododendron scrub</v>
      </c>
      <c r="B36" s="543" t="str">
        <f>'G-1 All Habitats'!N34</f>
        <v>Low</v>
      </c>
      <c r="C36" s="543">
        <f>'G-1 All Habitats'!O34</f>
        <v>1</v>
      </c>
      <c r="D36" s="543" t="str">
        <f>'G-1 All Habitats'!P34</f>
        <v>Low</v>
      </c>
      <c r="E36" s="543">
        <f>'G-1 All Habitats'!Q34</f>
        <v>1</v>
      </c>
    </row>
    <row r="37" spans="1: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c r="A53" s="110" t="str">
        <f>'G-1 All Habitats'!B39</f>
        <v>Lakes - Ornamental lake or pond</v>
      </c>
      <c r="B53" s="543" t="str">
        <f>'G-1 All Habitats'!N39</f>
        <v>Low</v>
      </c>
      <c r="C53" s="543">
        <f>'G-1 All Habitats'!O39</f>
        <v>1</v>
      </c>
      <c r="D53" s="543" t="str">
        <f>'G-1 All Habitats'!P39</f>
        <v>High</v>
      </c>
      <c r="E53" s="543">
        <f>'G-1 All Habitats'!Q39</f>
        <v>0.33</v>
      </c>
    </row>
    <row r="54" spans="1:5">
      <c r="A54" s="110" t="str">
        <f>'G-1 All Habitats'!B40</f>
        <v>Lakes - High alkalinity lakes</v>
      </c>
      <c r="B54" s="543" t="str">
        <f>'G-1 All Habitats'!N40</f>
        <v>High</v>
      </c>
      <c r="C54" s="543">
        <f>'G-1 All Habitats'!O40</f>
        <v>0.33</v>
      </c>
      <c r="D54" s="543" t="str">
        <f>'G-1 All Habitats'!P40</f>
        <v>High</v>
      </c>
      <c r="E54" s="543">
        <f>'G-1 All Habitats'!Q40</f>
        <v>0.33</v>
      </c>
    </row>
    <row r="55" spans="1:5">
      <c r="A55" s="110" t="str">
        <f>'G-1 All Habitats'!B41</f>
        <v>Lakes - Low alkalinity lakes</v>
      </c>
      <c r="B55" s="543" t="str">
        <f>'G-1 All Habitats'!N41</f>
        <v>High</v>
      </c>
      <c r="C55" s="543">
        <f>'G-1 All Habitats'!O41</f>
        <v>0.33</v>
      </c>
      <c r="D55" s="543" t="str">
        <f>'G-1 All Habitats'!P41</f>
        <v>Medium</v>
      </c>
      <c r="E55" s="543">
        <f>'G-1 All Habitats'!Q41</f>
        <v>0.67</v>
      </c>
    </row>
    <row r="56" spans="1:5">
      <c r="A56" s="110" t="str">
        <f>'G-1 All Habitats'!B42</f>
        <v>Lakes - Marl Lakes</v>
      </c>
      <c r="B56" s="543" t="str">
        <f>'G-1 All Habitats'!N42</f>
        <v>High</v>
      </c>
      <c r="C56" s="543">
        <f>'G-1 All Habitats'!O42</f>
        <v>0.33</v>
      </c>
      <c r="D56" s="543" t="str">
        <f>'G-1 All Habitats'!P42</f>
        <v>High</v>
      </c>
      <c r="E56" s="543">
        <f>'G-1 All Habitats'!Q42</f>
        <v>0.33</v>
      </c>
    </row>
    <row r="57" spans="1:5">
      <c r="A57" s="110" t="str">
        <f>'G-1 All Habitats'!B43</f>
        <v>Lakes - Moderate alkalinity lakes</v>
      </c>
      <c r="B57" s="543" t="str">
        <f>'G-1 All Habitats'!N43</f>
        <v>High</v>
      </c>
      <c r="C57" s="543">
        <f>'G-1 All Habitats'!O43</f>
        <v>0.33</v>
      </c>
      <c r="D57" s="543" t="str">
        <f>'G-1 All Habitats'!P43</f>
        <v>High</v>
      </c>
      <c r="E57" s="543">
        <f>'G-1 All Habitats'!Q43</f>
        <v>0.33</v>
      </c>
    </row>
    <row r="58" spans="1:5">
      <c r="A58" s="110" t="str">
        <f>'G-1 All Habitats'!B44</f>
        <v>Lakes - Peat Lakes</v>
      </c>
      <c r="B58" s="543" t="str">
        <f>'G-1 All Habitats'!N44</f>
        <v>High</v>
      </c>
      <c r="C58" s="543">
        <f>'G-1 All Habitats'!O44</f>
        <v>0.33</v>
      </c>
      <c r="D58" s="543" t="str">
        <f>'G-1 All Habitats'!P44</f>
        <v>High</v>
      </c>
      <c r="E58" s="543">
        <f>'G-1 All Habitats'!Q44</f>
        <v>0.33</v>
      </c>
    </row>
    <row r="59" spans="1:5">
      <c r="A59" s="110" t="str">
        <f>'G-1 All Habitats'!B46</f>
        <v>Lakes - Ponds (Non- Priority Habitat)</v>
      </c>
      <c r="B59" s="543" t="str">
        <f>'G-1 All Habitats'!N46</f>
        <v>Low</v>
      </c>
      <c r="C59" s="543">
        <f>'G-1 All Habitats'!O46</f>
        <v>1</v>
      </c>
      <c r="D59" s="543" t="str">
        <f>'G-1 All Habitats'!P46</f>
        <v>Medium</v>
      </c>
      <c r="E59" s="543">
        <f>'G-1 All Habitats'!Q46</f>
        <v>0.67</v>
      </c>
    </row>
    <row r="60" spans="1:5">
      <c r="A60" s="110" t="str">
        <f>'G-1 All Habitats'!B45</f>
        <v>Lakes - Ponds (Priority Habitat)</v>
      </c>
      <c r="B60" s="543" t="str">
        <f>'G-1 All Habitats'!N45</f>
        <v>Medium</v>
      </c>
      <c r="C60" s="543">
        <f>'G-1 All Habitats'!O45</f>
        <v>0.67</v>
      </c>
      <c r="D60" s="543" t="str">
        <f>'G-1 All Habitats'!P45</f>
        <v>Medium</v>
      </c>
      <c r="E60" s="543">
        <f>'G-1 All Habitats'!Q45</f>
        <v>0.67</v>
      </c>
    </row>
    <row r="61" spans="1:5">
      <c r="A61" s="110" t="str">
        <f>'G-1 All Habitats'!B47</f>
        <v>Lakes - Reservoirs</v>
      </c>
      <c r="B61" s="543" t="str">
        <f>'G-1 All Habitats'!N47</f>
        <v>Medium</v>
      </c>
      <c r="C61" s="543">
        <f>'G-1 All Habitats'!O47</f>
        <v>0.67</v>
      </c>
      <c r="D61" s="543" t="str">
        <f>'G-1 All Habitats'!P47</f>
        <v>Medium</v>
      </c>
      <c r="E61" s="543">
        <f>'G-1 All Habitats'!Q47</f>
        <v>0.67</v>
      </c>
    </row>
    <row r="62" spans="1: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c r="A79" s="110" t="str">
        <f>'G-1 All Habitats'!B76</f>
        <v>Urban - Vacant/derelict land/ bareground</v>
      </c>
      <c r="B79" s="543" t="str">
        <f>'G-1 All Habitats'!N76</f>
        <v>Low</v>
      </c>
      <c r="C79" s="543">
        <f>'G-1 All Habitats'!O76</f>
        <v>1</v>
      </c>
      <c r="D79" s="543" t="str">
        <f>'G-1 All Habitats'!P76</f>
        <v>Low</v>
      </c>
      <c r="E79" s="543">
        <f>'G-1 All Habitats'!Q76</f>
        <v>1</v>
      </c>
    </row>
    <row r="80" spans="1:5">
      <c r="A80" s="110" t="str">
        <f>'G-1 All Habitats'!B57</f>
        <v>Urban - Allotments</v>
      </c>
      <c r="B80" s="543" t="str">
        <f>'G-1 All Habitats'!N57</f>
        <v>Low</v>
      </c>
      <c r="C80" s="543">
        <f>'G-1 All Habitats'!O57</f>
        <v>1</v>
      </c>
      <c r="D80" s="543" t="str">
        <f>'G-1 All Habitats'!P57</f>
        <v>Low</v>
      </c>
      <c r="E80" s="543">
        <f>'G-1 All Habitats'!Q57</f>
        <v>1</v>
      </c>
    </row>
    <row r="81" spans="1: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c r="A82" s="110" t="str">
        <f>'G-1 All Habitats'!B59</f>
        <v>Urban - Bioswale</v>
      </c>
      <c r="B82" s="543" t="str">
        <f>'G-1 All Habitats'!N59</f>
        <v>Medium</v>
      </c>
      <c r="C82" s="543">
        <f>'G-1 All Habitats'!O59</f>
        <v>0.67</v>
      </c>
      <c r="D82" s="543" t="str">
        <f>'G-1 All Habitats'!P59</f>
        <v>Low</v>
      </c>
      <c r="E82" s="543">
        <f>'G-1 All Habitats'!Q59</f>
        <v>1</v>
      </c>
    </row>
    <row r="83" spans="1:5">
      <c r="A83" s="110" t="str">
        <f>'G-1 All Habitats'!B60</f>
        <v>Urban - Intensive green roof</v>
      </c>
      <c r="B83" s="543" t="str">
        <f>'G-1 All Habitats'!N60</f>
        <v>Low</v>
      </c>
      <c r="C83" s="543">
        <f>'G-1 All Habitats'!O60</f>
        <v>1</v>
      </c>
      <c r="D83" s="543" t="str">
        <f>'G-1 All Habitats'!P60</f>
        <v>Low</v>
      </c>
      <c r="E83" s="543">
        <f>'G-1 All Habitats'!Q60</f>
        <v>1</v>
      </c>
    </row>
    <row r="84" spans="1:5">
      <c r="A84" s="110" t="str">
        <f>'G-1 All Habitats'!B61</f>
        <v>Urban - Built linear features</v>
      </c>
      <c r="B84" s="543" t="str">
        <f>'G-1 All Habitats'!N61</f>
        <v>Low</v>
      </c>
      <c r="C84" s="543">
        <f>'G-1 All Habitats'!O61</f>
        <v>1</v>
      </c>
      <c r="D84" s="543" t="str">
        <f>'G-1 All Habitats'!P61</f>
        <v>Low</v>
      </c>
      <c r="E84" s="543">
        <f>'G-1 All Habitats'!Q61</f>
        <v>1</v>
      </c>
    </row>
    <row r="85" spans="1:5">
      <c r="A85" s="110" t="str">
        <f>'G-1 All Habitats'!B62</f>
        <v>Urban - Cemeteries and churchyards</v>
      </c>
      <c r="B85" s="543" t="str">
        <f>'G-1 All Habitats'!N62</f>
        <v>Medium</v>
      </c>
      <c r="C85" s="543">
        <f>'G-1 All Habitats'!O62</f>
        <v>0.67</v>
      </c>
      <c r="D85" s="543" t="str">
        <f>'G-1 All Habitats'!P62</f>
        <v>Low</v>
      </c>
      <c r="E85" s="543">
        <f>'G-1 All Habitats'!Q62</f>
        <v>1</v>
      </c>
    </row>
    <row r="86" spans="1:5">
      <c r="A86" s="110" t="str">
        <f>'G-1 All Habitats'!B63</f>
        <v>Urban - Developed land; sealed surface</v>
      </c>
      <c r="B86" s="543" t="str">
        <f>'G-1 All Habitats'!N63</f>
        <v>Low</v>
      </c>
      <c r="C86" s="543">
        <f>'G-1 All Habitats'!O63</f>
        <v>1</v>
      </c>
      <c r="D86" s="543" t="str">
        <f>'G-1 All Habitats'!P63</f>
        <v>Medium</v>
      </c>
      <c r="E86" s="543">
        <f>'G-1 All Habitats'!Q63</f>
        <v>0.67</v>
      </c>
    </row>
    <row r="87" spans="1:5">
      <c r="A87" s="110" t="str">
        <f>'G-1 All Habitats'!B64</f>
        <v>Urban - Other green roof</v>
      </c>
      <c r="B87" s="543" t="str">
        <f>'G-1 All Habitats'!N64</f>
        <v>Low</v>
      </c>
      <c r="C87" s="543">
        <f>'G-1 All Habitats'!O64</f>
        <v>1</v>
      </c>
      <c r="D87" s="543" t="str">
        <f>'G-1 All Habitats'!P64</f>
        <v>Low</v>
      </c>
      <c r="E87" s="543">
        <f>'G-1 All Habitats'!Q64</f>
        <v>1</v>
      </c>
    </row>
    <row r="88" spans="1:5">
      <c r="A88" s="110" t="str">
        <f>'G-1 All Habitats'!B65</f>
        <v>Urban - Facade-bound green wall</v>
      </c>
      <c r="B88" s="543" t="str">
        <f>'G-1 All Habitats'!N65</f>
        <v>Medium</v>
      </c>
      <c r="C88" s="543">
        <f>'G-1 All Habitats'!O65</f>
        <v>0.67</v>
      </c>
      <c r="D88" s="543" t="str">
        <f>'G-1 All Habitats'!P65</f>
        <v>Medium</v>
      </c>
      <c r="E88" s="543">
        <f>'G-1 All Habitats'!Q65</f>
        <v>0.67</v>
      </c>
    </row>
    <row r="89" spans="1:5">
      <c r="A89" s="110" t="str">
        <f>'G-1 All Habitats'!B66</f>
        <v>Urban - Ground based green wall</v>
      </c>
      <c r="B89" s="543" t="str">
        <f>'G-1 All Habitats'!N66</f>
        <v>Medium</v>
      </c>
      <c r="C89" s="543">
        <f>'G-1 All Habitats'!O66</f>
        <v>0.67</v>
      </c>
      <c r="D89" s="543" t="str">
        <f>'G-1 All Habitats'!P66</f>
        <v>Medium</v>
      </c>
      <c r="E89" s="543">
        <f>'G-1 All Habitats'!Q66</f>
        <v>0.67</v>
      </c>
    </row>
    <row r="90" spans="1:5">
      <c r="A90" s="110" t="str">
        <f>'G-1 All Habitats'!B67</f>
        <v>Urban - Ground level planters</v>
      </c>
      <c r="B90" s="543" t="str">
        <f>'G-1 All Habitats'!N67</f>
        <v>Low</v>
      </c>
      <c r="C90" s="543">
        <f>'G-1 All Habitats'!O67</f>
        <v>1</v>
      </c>
      <c r="D90" s="543" t="str">
        <f>'G-1 All Habitats'!P67</f>
        <v>Low</v>
      </c>
      <c r="E90" s="543">
        <f>'G-1 All Habitats'!Q67</f>
        <v>1</v>
      </c>
    </row>
    <row r="91" spans="1:5">
      <c r="A91" s="110" t="str">
        <f>'G-1 All Habitats'!B68</f>
        <v>Urban - Biodiverse green roof</v>
      </c>
      <c r="B91" s="543" t="str">
        <f>'G-1 All Habitats'!N68</f>
        <v>Medium</v>
      </c>
      <c r="C91" s="543">
        <f>'G-1 All Habitats'!O68</f>
        <v>0.67</v>
      </c>
      <c r="D91" s="543" t="str">
        <f>'G-1 All Habitats'!P68</f>
        <v>Medium</v>
      </c>
      <c r="E91" s="543">
        <f>'G-1 All Habitats'!Q68</f>
        <v>0.67</v>
      </c>
    </row>
    <row r="92" spans="1:5">
      <c r="A92" s="110" t="str">
        <f>'G-1 All Habitats'!B69</f>
        <v>Urban - Introduced shrub</v>
      </c>
      <c r="B92" s="543" t="str">
        <f>'G-1 All Habitats'!N69</f>
        <v>Low</v>
      </c>
      <c r="C92" s="543">
        <f>'G-1 All Habitats'!O69</f>
        <v>1</v>
      </c>
      <c r="D92" s="543" t="str">
        <f>'G-1 All Habitats'!P69</f>
        <v>Low</v>
      </c>
      <c r="E92" s="543">
        <f>'G-1 All Habitats'!Q69</f>
        <v>1</v>
      </c>
    </row>
    <row r="93" spans="1: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c r="A94" s="110" t="str">
        <f>'G-1 All Habitats'!B71</f>
        <v>Urban - Rain garden</v>
      </c>
      <c r="B94" s="543" t="str">
        <f>'G-1 All Habitats'!N71</f>
        <v>Low</v>
      </c>
      <c r="C94" s="543">
        <f>'G-1 All Habitats'!O71</f>
        <v>1</v>
      </c>
      <c r="D94" s="543" t="str">
        <f>'G-1 All Habitats'!P71</f>
        <v>Low</v>
      </c>
      <c r="E94" s="543">
        <f>'G-1 All Habitats'!Q71</f>
        <v>1</v>
      </c>
    </row>
    <row r="95" spans="1: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c r="A96" s="110" t="str">
        <f>'G-1 All Habitats'!B73</f>
        <v>Urban - Urban Tree</v>
      </c>
      <c r="B96" s="543" t="str">
        <f>'G-1 All Habitats'!N73</f>
        <v>Low</v>
      </c>
      <c r="C96" s="543">
        <f>'G-1 All Habitats'!O73</f>
        <v>1</v>
      </c>
      <c r="D96" s="543" t="str">
        <f>'G-1 All Habitats'!P73</f>
        <v>Low</v>
      </c>
      <c r="E96" s="543">
        <f>'G-1 All Habitats'!Q73</f>
        <v>1</v>
      </c>
    </row>
    <row r="97" spans="1: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c r="A98" s="110" t="str">
        <f>'G-1 All Habitats'!B75</f>
        <v>Urban - Un-vegetated garden</v>
      </c>
      <c r="B98" s="543" t="str">
        <f>'G-1 All Habitats'!N75</f>
        <v>Low</v>
      </c>
      <c r="C98" s="543">
        <f>'G-1 All Habitats'!O75</f>
        <v>1</v>
      </c>
      <c r="D98" s="543" t="str">
        <f>'G-1 All Habitats'!P75</f>
        <v>Low</v>
      </c>
      <c r="E98" s="543">
        <f>'G-1 All Habitats'!Q75</f>
        <v>1</v>
      </c>
    </row>
    <row r="99" spans="1:5">
      <c r="A99" s="110" t="str">
        <f>'G-1 All Habitats'!B77</f>
        <v>Urban - Vegetated garden</v>
      </c>
      <c r="B99" s="543" t="str">
        <f>'G-1 All Habitats'!N77</f>
        <v>Low</v>
      </c>
      <c r="C99" s="543">
        <f>'G-1 All Habitats'!O77</f>
        <v>1</v>
      </c>
      <c r="D99" s="543" t="str">
        <f>'G-1 All Habitats'!P77</f>
        <v>Low</v>
      </c>
      <c r="E99" s="543">
        <f>'G-1 All Habitats'!Q77</f>
        <v>1</v>
      </c>
    </row>
    <row r="100" spans="1:5">
      <c r="A100" s="110" t="str">
        <f>'G-1 All Habitats'!B78</f>
        <v>Wetland - Blanket bog</v>
      </c>
      <c r="B100" s="543" t="str">
        <f>'G-1 All Habitats'!N78</f>
        <v>Very High</v>
      </c>
      <c r="C100" s="543">
        <f>'G-1 All Habitats'!O78</f>
        <v>0.1</v>
      </c>
      <c r="D100" s="543" t="str">
        <f>'G-1 All Habitats'!P78</f>
        <v>High</v>
      </c>
      <c r="E100" s="543">
        <f>'G-1 All Habitats'!Q78</f>
        <v>0.33</v>
      </c>
    </row>
    <row r="101" spans="1: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c r="A102" s="110" t="str">
        <f>'G-1 All Habitats'!B80</f>
        <v>Wetland - Fens (upland and lowland)</v>
      </c>
      <c r="B102" s="543" t="str">
        <f>'G-1 All Habitats'!N80</f>
        <v>High</v>
      </c>
      <c r="C102" s="543">
        <f>'G-1 All Habitats'!O80</f>
        <v>0.33</v>
      </c>
      <c r="D102" s="543" t="str">
        <f>'G-1 All Habitats'!P80</f>
        <v>High</v>
      </c>
      <c r="E102" s="543">
        <f>'G-1 All Habitats'!Q80</f>
        <v>0.33</v>
      </c>
    </row>
    <row r="103" spans="1:5">
      <c r="A103" s="110" t="str">
        <f>'G-1 All Habitats'!B81</f>
        <v>Wetland - Lowland raised bog</v>
      </c>
      <c r="B103" s="543" t="str">
        <f>'G-1 All Habitats'!N81</f>
        <v>Very High</v>
      </c>
      <c r="C103" s="543">
        <f>'G-1 All Habitats'!O81</f>
        <v>0.1</v>
      </c>
      <c r="D103" s="543" t="str">
        <f>'G-1 All Habitats'!P81</f>
        <v>High</v>
      </c>
      <c r="E103" s="543">
        <f>'G-1 All Habitats'!Q81</f>
        <v>0.33</v>
      </c>
    </row>
    <row r="104" spans="1: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c r="A106" s="110" t="str">
        <f>'G-1 All Habitats'!B84</f>
        <v>Wetland - Reedbeds</v>
      </c>
      <c r="B106" s="543" t="str">
        <f>'G-1 All Habitats'!N84</f>
        <v>Medium</v>
      </c>
      <c r="C106" s="543">
        <f>'G-1 All Habitats'!O84</f>
        <v>0.67</v>
      </c>
      <c r="D106" s="543" t="str">
        <f>'G-1 All Habitats'!P84</f>
        <v>Medium</v>
      </c>
      <c r="E106" s="543">
        <f>'G-1 All Habitats'!Q84</f>
        <v>0.67</v>
      </c>
    </row>
    <row r="107" spans="1: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c r="A108" s="110" t="str">
        <f>'G-1 All Habitats'!B86</f>
        <v>Woodland and forest - Felled</v>
      </c>
      <c r="B108" s="543" t="s">
        <v>155</v>
      </c>
      <c r="C108" s="543">
        <f>'G-1 All Habitats'!O86</f>
        <v>1</v>
      </c>
      <c r="D108" s="543" t="str">
        <f>'G-1 All Habitats'!P86</f>
        <v>Low</v>
      </c>
      <c r="E108" s="543">
        <f>'G-1 All Habitats'!Q86</f>
        <v>1</v>
      </c>
    </row>
    <row r="109" spans="1: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row r="131" spans="1:5"/>
    <row r="132" spans="1:5"/>
    <row r="133" spans="1:5"/>
    <row r="134" spans="1:5"/>
    <row r="135" spans="1:5"/>
    <row r="136" spans="1:5"/>
    <row r="137" spans="1:5"/>
    <row r="138" spans="1:5"/>
    <row r="139" spans="1:5"/>
    <row r="140" spans="1:5"/>
    <row r="141" spans="1:5"/>
    <row r="142" spans="1: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714"/>
      <c r="H10" s="714"/>
      <c r="I10" s="714"/>
      <c r="J10" s="714"/>
      <c r="K10" s="714"/>
      <c r="L10" s="714"/>
      <c r="M10" s="714"/>
      <c r="N10" s="714"/>
      <c r="O10" s="71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594360</xdr:colOff>
                <xdr:row>10</xdr:row>
                <xdr:rowOff>198120</xdr:rowOff>
              </from>
              <to>
                <xdr:col>14</xdr:col>
                <xdr:colOff>327660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bottomRight" sqref="A1:C1"/>
      <selection pane="bottomLeft" activeCell="S28" sqref="S28"/>
      <selection pane="topRight" activeCell="S28" sqref="S28"/>
    </sheetView>
  </sheetViews>
  <sheetFormatPr defaultColWidth="0" defaultRowHeight="13.9" zeroHeight="1"/>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c r="A1" s="1052"/>
      <c r="B1" s="1052"/>
      <c r="C1" s="1052"/>
      <c r="F1" s="280"/>
      <c r="G1" s="280"/>
      <c r="H1" s="280"/>
      <c r="I1" s="280"/>
      <c r="J1" s="280"/>
      <c r="K1" s="280"/>
      <c r="L1" s="280"/>
      <c r="M1" s="280"/>
    </row>
    <row r="2" spans="1:13" ht="29.45" customHeight="1">
      <c r="A2" s="1051" t="s">
        <v>944</v>
      </c>
      <c r="B2" s="1051"/>
      <c r="C2" s="1051"/>
      <c r="F2" s="281"/>
      <c r="G2" s="1053" t="s">
        <v>945</v>
      </c>
      <c r="H2" s="1053"/>
      <c r="I2" s="1053"/>
      <c r="J2" s="1053"/>
      <c r="K2" s="1053"/>
      <c r="L2" s="1053"/>
      <c r="M2" s="1054"/>
    </row>
    <row r="3" spans="1:13" ht="27.6">
      <c r="A3" s="103" t="s">
        <v>946</v>
      </c>
      <c r="B3" s="103" t="s">
        <v>947</v>
      </c>
      <c r="C3" s="103" t="s">
        <v>948</v>
      </c>
      <c r="F3" s="282" t="s">
        <v>837</v>
      </c>
      <c r="G3" s="104" t="s">
        <v>23</v>
      </c>
      <c r="H3" s="104" t="s">
        <v>226</v>
      </c>
      <c r="I3" s="104" t="s">
        <v>22</v>
      </c>
      <c r="J3" s="104" t="s">
        <v>425</v>
      </c>
      <c r="K3" s="130" t="s">
        <v>237</v>
      </c>
      <c r="L3" s="130" t="s">
        <v>231</v>
      </c>
      <c r="M3" s="104" t="s">
        <v>248</v>
      </c>
    </row>
    <row r="4" spans="1:13">
      <c r="A4" s="104">
        <v>0</v>
      </c>
      <c r="B4" s="543">
        <v>100</v>
      </c>
      <c r="C4" s="654">
        <v>1</v>
      </c>
      <c r="F4" s="88" t="str">
        <f>'G-1 All Habitats'!B3</f>
        <v>Cropland - Arable field margins cultivated annually</v>
      </c>
      <c r="G4" s="543" t="s">
        <v>949</v>
      </c>
      <c r="H4" s="543" t="s">
        <v>949</v>
      </c>
      <c r="I4" s="543" t="s">
        <v>949</v>
      </c>
      <c r="J4" s="543" t="s">
        <v>949</v>
      </c>
      <c r="K4" s="543" t="s">
        <v>949</v>
      </c>
      <c r="L4" s="543">
        <v>1</v>
      </c>
      <c r="M4" s="543" t="s">
        <v>949</v>
      </c>
    </row>
    <row r="5" spans="1:13">
      <c r="A5" s="104">
        <v>1</v>
      </c>
      <c r="B5" s="543">
        <v>96.5</v>
      </c>
      <c r="C5" s="654">
        <v>0.96499999999999997</v>
      </c>
      <c r="F5" s="88" t="str">
        <f>'G-1 All Habitats'!B4</f>
        <v>Cropland - Arable field margins game bird mix</v>
      </c>
      <c r="G5" s="543" t="s">
        <v>949</v>
      </c>
      <c r="H5" s="543" t="s">
        <v>949</v>
      </c>
      <c r="I5" s="543" t="s">
        <v>949</v>
      </c>
      <c r="J5" s="543" t="s">
        <v>949</v>
      </c>
      <c r="K5" s="543" t="s">
        <v>949</v>
      </c>
      <c r="L5" s="543">
        <v>1</v>
      </c>
      <c r="M5" s="543" t="s">
        <v>949</v>
      </c>
    </row>
    <row r="6" spans="1:13">
      <c r="A6" s="104">
        <v>2</v>
      </c>
      <c r="B6" s="543">
        <v>93.122500000000002</v>
      </c>
      <c r="C6" s="654">
        <v>0.93122499999999997</v>
      </c>
      <c r="F6" s="88" t="str">
        <f>'G-1 All Habitats'!B5</f>
        <v>Cropland - Arable field margins pollen &amp; nectar</v>
      </c>
      <c r="G6" s="543" t="s">
        <v>949</v>
      </c>
      <c r="H6" s="543" t="s">
        <v>949</v>
      </c>
      <c r="I6" s="543" t="s">
        <v>949</v>
      </c>
      <c r="J6" s="543" t="s">
        <v>949</v>
      </c>
      <c r="K6" s="543" t="s">
        <v>949</v>
      </c>
      <c r="L6" s="543">
        <v>1</v>
      </c>
      <c r="M6" s="543" t="s">
        <v>949</v>
      </c>
    </row>
    <row r="7" spans="1:13">
      <c r="A7" s="104">
        <v>3</v>
      </c>
      <c r="B7" s="543">
        <v>89.863212500000003</v>
      </c>
      <c r="C7" s="654">
        <v>0.898632125</v>
      </c>
      <c r="F7" s="88" t="str">
        <f>'G-1 All Habitats'!B6</f>
        <v>Cropland - Arable field margins tussocky</v>
      </c>
      <c r="G7" s="543" t="s">
        <v>949</v>
      </c>
      <c r="H7" s="543" t="s">
        <v>949</v>
      </c>
      <c r="I7" s="543" t="s">
        <v>949</v>
      </c>
      <c r="J7" s="543" t="s">
        <v>949</v>
      </c>
      <c r="K7" s="543" t="s">
        <v>949</v>
      </c>
      <c r="L7" s="543">
        <v>1</v>
      </c>
      <c r="M7" s="543" t="s">
        <v>949</v>
      </c>
    </row>
    <row r="8" spans="1:13">
      <c r="A8" s="104">
        <v>4</v>
      </c>
      <c r="B8" s="543">
        <v>86.718000059999994</v>
      </c>
      <c r="C8" s="654">
        <v>0.86718000059999989</v>
      </c>
      <c r="F8" s="88" t="str">
        <f>'G-1 All Habitats'!B7</f>
        <v>Cropland - Cereal crops</v>
      </c>
      <c r="G8" s="543" t="s">
        <v>949</v>
      </c>
      <c r="H8" s="543" t="s">
        <v>949</v>
      </c>
      <c r="I8" s="543" t="s">
        <v>949</v>
      </c>
      <c r="J8" s="543" t="s">
        <v>949</v>
      </c>
      <c r="K8" s="543" t="s">
        <v>949</v>
      </c>
      <c r="L8" s="543">
        <v>1</v>
      </c>
      <c r="M8" s="543" t="s">
        <v>949</v>
      </c>
    </row>
    <row r="9" spans="1:13">
      <c r="A9" s="104">
        <v>5</v>
      </c>
      <c r="B9" s="543">
        <v>83.682870059999999</v>
      </c>
      <c r="C9" s="654">
        <v>0.83682870060000003</v>
      </c>
      <c r="F9" s="88" t="str">
        <f>'G-1 All Habitats'!B8</f>
        <v>Cropland - Cereal crops winter stubble</v>
      </c>
      <c r="G9" s="543" t="s">
        <v>949</v>
      </c>
      <c r="H9" s="543" t="s">
        <v>949</v>
      </c>
      <c r="I9" s="543" t="s">
        <v>949</v>
      </c>
      <c r="J9" s="543" t="s">
        <v>949</v>
      </c>
      <c r="K9" s="543" t="s">
        <v>949</v>
      </c>
      <c r="L9" s="543">
        <v>1</v>
      </c>
      <c r="M9" s="543" t="s">
        <v>949</v>
      </c>
    </row>
    <row r="10" spans="1:13">
      <c r="A10" s="104">
        <v>6</v>
      </c>
      <c r="B10" s="543">
        <v>80.753969609999999</v>
      </c>
      <c r="C10" s="654">
        <v>0.80753969609999998</v>
      </c>
      <c r="F10" s="88" t="str">
        <f>'G-1 All Habitats'!B9</f>
        <v>Cropland - Horticulture</v>
      </c>
      <c r="G10" s="543" t="s">
        <v>949</v>
      </c>
      <c r="H10" s="543" t="s">
        <v>949</v>
      </c>
      <c r="I10" s="543" t="s">
        <v>949</v>
      </c>
      <c r="J10" s="543" t="s">
        <v>949</v>
      </c>
      <c r="K10" s="543" t="s">
        <v>949</v>
      </c>
      <c r="L10" s="543">
        <v>1</v>
      </c>
      <c r="M10" s="543" t="s">
        <v>949</v>
      </c>
    </row>
    <row r="11" spans="1:13">
      <c r="A11" s="104">
        <v>7</v>
      </c>
      <c r="B11" s="543">
        <v>77.927580669999998</v>
      </c>
      <c r="C11" s="654">
        <v>0.77927580669999996</v>
      </c>
      <c r="F11" s="88" t="str">
        <f>'G-1 All Habitats'!B10</f>
        <v>Cropland - Intensive orchards</v>
      </c>
      <c r="G11" s="543" t="s">
        <v>949</v>
      </c>
      <c r="H11" s="543" t="s">
        <v>949</v>
      </c>
      <c r="I11" s="543" t="s">
        <v>949</v>
      </c>
      <c r="J11" s="543" t="s">
        <v>949</v>
      </c>
      <c r="K11" s="543" t="s">
        <v>949</v>
      </c>
      <c r="L11" s="543">
        <v>1</v>
      </c>
      <c r="M11" s="543" t="s">
        <v>949</v>
      </c>
    </row>
    <row r="12" spans="1:13">
      <c r="A12" s="104">
        <v>8</v>
      </c>
      <c r="B12" s="543">
        <v>75.200115350000004</v>
      </c>
      <c r="C12" s="654">
        <v>0.75200115350000007</v>
      </c>
      <c r="F12" s="88" t="str">
        <f>'G-1 All Habitats'!B11</f>
        <v>Cropland - Non-cereal crops</v>
      </c>
      <c r="G12" s="543" t="s">
        <v>949</v>
      </c>
      <c r="H12" s="543" t="s">
        <v>949</v>
      </c>
      <c r="I12" s="543" t="s">
        <v>949</v>
      </c>
      <c r="J12" s="543" t="s">
        <v>949</v>
      </c>
      <c r="K12" s="543" t="s">
        <v>949</v>
      </c>
      <c r="L12" s="543">
        <v>1</v>
      </c>
      <c r="M12" s="543" t="s">
        <v>949</v>
      </c>
    </row>
    <row r="13" spans="1:13">
      <c r="A13" s="104">
        <v>9</v>
      </c>
      <c r="B13" s="543">
        <v>72.568111310000006</v>
      </c>
      <c r="C13" s="654">
        <v>0.72568111310000005</v>
      </c>
      <c r="F13" s="88" t="str">
        <f>'G-1 All Habitats'!B12</f>
        <v>Cropland - Temporary grass and clover leys</v>
      </c>
      <c r="G13" s="543" t="s">
        <v>949</v>
      </c>
      <c r="H13" s="543" t="s">
        <v>949</v>
      </c>
      <c r="I13" s="543" t="s">
        <v>949</v>
      </c>
      <c r="J13" s="543" t="s">
        <v>949</v>
      </c>
      <c r="K13" s="543" t="s">
        <v>949</v>
      </c>
      <c r="L13" s="543">
        <v>1</v>
      </c>
      <c r="M13" s="543" t="s">
        <v>949</v>
      </c>
    </row>
    <row r="14" spans="1:13">
      <c r="A14" s="104">
        <v>10</v>
      </c>
      <c r="B14" s="543">
        <v>70.028227419999993</v>
      </c>
      <c r="C14" s="654">
        <v>0.70028227419999989</v>
      </c>
      <c r="F14" s="88" t="str">
        <f>'G-1 All Habitats'!B13</f>
        <v>Grassland - Traditional orchards</v>
      </c>
      <c r="G14" s="543">
        <v>30</v>
      </c>
      <c r="H14" s="543">
        <v>25</v>
      </c>
      <c r="I14" s="543">
        <v>20</v>
      </c>
      <c r="J14" s="543">
        <v>10</v>
      </c>
      <c r="K14" s="543">
        <v>5</v>
      </c>
      <c r="L14" s="543" t="s">
        <v>949</v>
      </c>
      <c r="M14" s="543" t="s">
        <v>949</v>
      </c>
    </row>
    <row r="15" spans="1:13">
      <c r="A15" s="104">
        <v>11</v>
      </c>
      <c r="B15" s="543">
        <v>67.577239460000001</v>
      </c>
      <c r="C15" s="654">
        <v>0.67577239460000005</v>
      </c>
      <c r="F15" s="88" t="str">
        <f>'G-1 All Habitats'!B14</f>
        <v>Grassland - Bracken</v>
      </c>
      <c r="G15" s="543" t="s">
        <v>949</v>
      </c>
      <c r="H15" s="543" t="s">
        <v>949</v>
      </c>
      <c r="I15" s="543" t="s">
        <v>949</v>
      </c>
      <c r="J15" s="543" t="s">
        <v>949</v>
      </c>
      <c r="K15" s="543" t="s">
        <v>949</v>
      </c>
      <c r="L15" s="543">
        <v>1</v>
      </c>
      <c r="M15" s="543" t="s">
        <v>949</v>
      </c>
    </row>
    <row r="16" spans="1:1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949</v>
      </c>
      <c r="M16" s="543" t="s">
        <v>949</v>
      </c>
    </row>
    <row r="17" spans="1:1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949</v>
      </c>
      <c r="M17" s="543" t="s">
        <v>949</v>
      </c>
    </row>
    <row r="18" spans="1:13">
      <c r="A18" s="104">
        <v>14</v>
      </c>
      <c r="B18" s="543">
        <v>60.727078290000001</v>
      </c>
      <c r="C18" s="654">
        <v>0.60727078290000003</v>
      </c>
      <c r="F18" s="88" t="str">
        <f>'G-1 All Habitats'!B17</f>
        <v>Grassland - Lowland dry acid grassland</v>
      </c>
      <c r="G18" s="543" t="s">
        <v>950</v>
      </c>
      <c r="H18" s="543">
        <v>25</v>
      </c>
      <c r="I18" s="543">
        <v>20</v>
      </c>
      <c r="J18" s="543">
        <v>15</v>
      </c>
      <c r="K18" s="543">
        <v>10</v>
      </c>
      <c r="L18" s="543" t="s">
        <v>949</v>
      </c>
      <c r="M18" s="543" t="s">
        <v>949</v>
      </c>
    </row>
    <row r="19" spans="1:13">
      <c r="A19" s="104">
        <v>15</v>
      </c>
      <c r="B19" s="543">
        <v>58.601630550000003</v>
      </c>
      <c r="C19" s="654">
        <v>0.58601630550000006</v>
      </c>
      <c r="F19" s="88" t="str">
        <f>'G-1 All Habitats'!B18</f>
        <v>Grassland - Lowland meadows</v>
      </c>
      <c r="G19" s="543">
        <v>15</v>
      </c>
      <c r="H19" s="543">
        <v>12</v>
      </c>
      <c r="I19" s="543">
        <v>10</v>
      </c>
      <c r="J19" s="543">
        <v>8</v>
      </c>
      <c r="K19" s="543">
        <v>5</v>
      </c>
      <c r="L19" s="543" t="s">
        <v>949</v>
      </c>
      <c r="M19" s="543" t="s">
        <v>949</v>
      </c>
    </row>
    <row r="20" spans="1:1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949</v>
      </c>
    </row>
    <row r="21" spans="1:13" ht="15" customHeight="1">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949</v>
      </c>
      <c r="M21" s="543" t="s">
        <v>949</v>
      </c>
    </row>
    <row r="22" spans="1:13" ht="15" customHeight="1">
      <c r="A22" s="104">
        <v>18</v>
      </c>
      <c r="B22" s="543">
        <v>52.661307790000002</v>
      </c>
      <c r="C22" s="654">
        <v>0.5266130779</v>
      </c>
      <c r="F22" s="88" t="str">
        <f>'G-1 All Habitats'!B21</f>
        <v>Grassland - Other neutral grassland</v>
      </c>
      <c r="G22" s="543">
        <v>10</v>
      </c>
      <c r="H22" s="543">
        <v>7</v>
      </c>
      <c r="I22" s="543">
        <v>5</v>
      </c>
      <c r="J22" s="543">
        <v>3</v>
      </c>
      <c r="K22" s="543">
        <v>2</v>
      </c>
      <c r="L22" s="543" t="s">
        <v>949</v>
      </c>
      <c r="M22" s="543" t="s">
        <v>949</v>
      </c>
    </row>
    <row r="23" spans="1:13" ht="15" customHeight="1">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949</v>
      </c>
      <c r="M23" s="543" t="s">
        <v>949</v>
      </c>
    </row>
    <row r="24" spans="1:13" ht="15" customHeight="1">
      <c r="A24" s="104">
        <v>20</v>
      </c>
      <c r="B24" s="543">
        <v>49.039526350000003</v>
      </c>
      <c r="C24" s="654">
        <v>0.49039526350000001</v>
      </c>
      <c r="F24" s="88" t="str">
        <f>'G-1 All Habitats'!B23</f>
        <v>Grassland - Upland acid grassland</v>
      </c>
      <c r="G24" s="543">
        <v>15</v>
      </c>
      <c r="H24" s="543">
        <v>12</v>
      </c>
      <c r="I24" s="543">
        <v>10</v>
      </c>
      <c r="J24" s="543">
        <v>5</v>
      </c>
      <c r="K24" s="543">
        <v>1</v>
      </c>
      <c r="L24" s="543" t="s">
        <v>949</v>
      </c>
      <c r="M24" s="543" t="s">
        <v>949</v>
      </c>
    </row>
    <row r="25" spans="1:13" ht="15" customHeight="1">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949</v>
      </c>
      <c r="M25" s="543" t="s">
        <v>949</v>
      </c>
    </row>
    <row r="26" spans="1:13" ht="15" customHeight="1">
      <c r="A26" s="104">
        <v>22</v>
      </c>
      <c r="B26" s="543">
        <v>45.666832919999997</v>
      </c>
      <c r="C26" s="654">
        <v>0.4566683292</v>
      </c>
      <c r="F26" s="88" t="str">
        <f>'G-1 All Habitats'!B25</f>
        <v>Grassland - Upland hay meadows</v>
      </c>
      <c r="G26" s="543">
        <v>20</v>
      </c>
      <c r="H26" s="543">
        <v>18</v>
      </c>
      <c r="I26" s="543">
        <v>15</v>
      </c>
      <c r="J26" s="543">
        <v>12</v>
      </c>
      <c r="K26" s="543">
        <v>10</v>
      </c>
      <c r="L26" s="543" t="s">
        <v>949</v>
      </c>
      <c r="M26" s="543" t="s">
        <v>949</v>
      </c>
    </row>
    <row r="27" spans="1:13">
      <c r="A27" s="104">
        <v>23</v>
      </c>
      <c r="B27" s="543">
        <v>44.068493770000003</v>
      </c>
      <c r="C27" s="654">
        <v>0.44068493770000006</v>
      </c>
      <c r="F27" s="88" t="str">
        <f>'G-1 All Habitats'!B26</f>
        <v>Heathland and shrub - Blackthorn scrub</v>
      </c>
      <c r="G27" s="543">
        <v>10</v>
      </c>
      <c r="H27" s="543">
        <v>7</v>
      </c>
      <c r="I27" s="543">
        <v>5</v>
      </c>
      <c r="J27" s="543">
        <v>3</v>
      </c>
      <c r="K27" s="543">
        <v>1</v>
      </c>
      <c r="L27" s="543" t="s">
        <v>949</v>
      </c>
      <c r="M27" s="543" t="s">
        <v>949</v>
      </c>
    </row>
    <row r="28" spans="1:13">
      <c r="A28" s="104">
        <v>24</v>
      </c>
      <c r="B28" s="543">
        <v>42.52609649</v>
      </c>
      <c r="C28" s="654">
        <v>0.42526096489999998</v>
      </c>
      <c r="F28" s="88" t="str">
        <f>'G-1 All Habitats'!B27</f>
        <v>Heathland and shrub - Bramble scrub</v>
      </c>
      <c r="G28" s="543" t="s">
        <v>949</v>
      </c>
      <c r="H28" s="543" t="s">
        <v>949</v>
      </c>
      <c r="I28" s="543" t="s">
        <v>949</v>
      </c>
      <c r="J28" s="543" t="s">
        <v>949</v>
      </c>
      <c r="K28" s="543" t="s">
        <v>949</v>
      </c>
      <c r="L28" s="543">
        <v>1</v>
      </c>
      <c r="M28" s="543" t="s">
        <v>949</v>
      </c>
    </row>
    <row r="29" spans="1:13">
      <c r="A29" s="104">
        <v>25</v>
      </c>
      <c r="B29" s="543">
        <v>41.037683110000003</v>
      </c>
      <c r="C29" s="654">
        <v>0.41037683110000001</v>
      </c>
      <c r="F29" s="88" t="str">
        <f>'G-1 All Habitats'!B28</f>
        <v>Heathland and shrub - Gorse scrub</v>
      </c>
      <c r="G29" s="543">
        <v>10</v>
      </c>
      <c r="H29" s="543">
        <v>7</v>
      </c>
      <c r="I29" s="543">
        <v>5</v>
      </c>
      <c r="J29" s="543">
        <v>3</v>
      </c>
      <c r="K29" s="543">
        <v>1</v>
      </c>
      <c r="L29" s="543" t="s">
        <v>949</v>
      </c>
      <c r="M29" s="543" t="s">
        <v>949</v>
      </c>
    </row>
    <row r="30" spans="1:13">
      <c r="A30" s="104">
        <v>26</v>
      </c>
      <c r="B30" s="543">
        <v>39.601364199999999</v>
      </c>
      <c r="C30" s="654">
        <v>0.396013642</v>
      </c>
      <c r="F30" s="88" t="str">
        <f>'G-1 All Habitats'!B29</f>
        <v>Heathland and shrub - Hawthorn scrub</v>
      </c>
      <c r="G30" s="543">
        <v>10</v>
      </c>
      <c r="H30" s="543">
        <v>7</v>
      </c>
      <c r="I30" s="543">
        <v>5</v>
      </c>
      <c r="J30" s="543">
        <v>3</v>
      </c>
      <c r="K30" s="543">
        <v>1</v>
      </c>
      <c r="L30" s="543" t="s">
        <v>949</v>
      </c>
      <c r="M30" s="543" t="s">
        <v>949</v>
      </c>
    </row>
    <row r="31" spans="1:13">
      <c r="A31" s="104">
        <v>27</v>
      </c>
      <c r="B31" s="543">
        <v>38.215316459999997</v>
      </c>
      <c r="C31" s="654">
        <v>0.38215316459999998</v>
      </c>
      <c r="F31" s="88" t="str">
        <f>'G-1 All Habitats'!B30</f>
        <v>Heathland and shrub - Hazel scrub</v>
      </c>
      <c r="G31" s="543">
        <v>15</v>
      </c>
      <c r="H31" s="543">
        <v>12</v>
      </c>
      <c r="I31" s="543">
        <v>10</v>
      </c>
      <c r="J31" s="543">
        <v>7</v>
      </c>
      <c r="K31" s="543">
        <v>5</v>
      </c>
      <c r="L31" s="543" t="s">
        <v>949</v>
      </c>
      <c r="M31" s="543" t="s">
        <v>949</v>
      </c>
    </row>
    <row r="32" spans="1:13">
      <c r="A32" s="104">
        <v>28</v>
      </c>
      <c r="B32" s="543">
        <v>36.877780379999997</v>
      </c>
      <c r="C32" s="654">
        <v>0.36877780379999997</v>
      </c>
      <c r="F32" s="88" t="str">
        <f>'G-1 All Habitats'!B31</f>
        <v>Heathland and shrub - Lowland Heathland</v>
      </c>
      <c r="G32" s="543" t="s">
        <v>950</v>
      </c>
      <c r="H32" s="543">
        <v>25</v>
      </c>
      <c r="I32" s="543">
        <v>20</v>
      </c>
      <c r="J32" s="543">
        <v>15</v>
      </c>
      <c r="K32" s="543">
        <v>10</v>
      </c>
      <c r="L32" s="543" t="s">
        <v>949</v>
      </c>
      <c r="M32" s="543" t="s">
        <v>949</v>
      </c>
    </row>
    <row r="33" spans="1:13">
      <c r="A33" s="104">
        <v>29</v>
      </c>
      <c r="B33" s="543">
        <v>35.587058069999998</v>
      </c>
      <c r="C33" s="654">
        <v>0.35587058069999999</v>
      </c>
      <c r="F33" s="88" t="str">
        <f>'G-1 All Habitats'!B32</f>
        <v>Heathland and shrub - Mixed scrub</v>
      </c>
      <c r="G33" s="543">
        <v>10</v>
      </c>
      <c r="H33" s="543">
        <v>7</v>
      </c>
      <c r="I33" s="543">
        <v>5</v>
      </c>
      <c r="J33" s="543">
        <v>3</v>
      </c>
      <c r="K33" s="543">
        <v>1</v>
      </c>
      <c r="L33" s="543" t="s">
        <v>949</v>
      </c>
      <c r="M33" s="543" t="s">
        <v>949</v>
      </c>
    </row>
    <row r="34" spans="1:13">
      <c r="A34" s="104">
        <v>30</v>
      </c>
      <c r="B34" s="543">
        <v>34.34151104</v>
      </c>
      <c r="C34" s="654">
        <v>0.3434151104</v>
      </c>
      <c r="F34" s="88" t="str">
        <f>'G-1 All Habitats'!B33</f>
        <v>Heathland and shrub - Mountain heaths and willow scrub</v>
      </c>
      <c r="G34" s="543" t="s">
        <v>950</v>
      </c>
      <c r="H34" s="543" t="s">
        <v>950</v>
      </c>
      <c r="I34" s="543">
        <v>25</v>
      </c>
      <c r="J34" s="543">
        <v>23</v>
      </c>
      <c r="K34" s="543">
        <v>15</v>
      </c>
      <c r="L34" s="543" t="s">
        <v>949</v>
      </c>
      <c r="M34" s="543" t="s">
        <v>949</v>
      </c>
    </row>
    <row r="35" spans="1:13">
      <c r="A35" s="104">
        <v>31</v>
      </c>
      <c r="B35" s="543">
        <v>33.139558149999999</v>
      </c>
      <c r="C35" s="654">
        <v>0.33139558149999998</v>
      </c>
      <c r="F35" s="88" t="str">
        <f>'G-1 All Habitats'!B34</f>
        <v>Heathland and shrub - Rhododendron scrub</v>
      </c>
      <c r="G35" s="543" t="s">
        <v>949</v>
      </c>
      <c r="H35" s="543" t="s">
        <v>949</v>
      </c>
      <c r="I35" s="543" t="s">
        <v>949</v>
      </c>
      <c r="J35" s="543" t="s">
        <v>949</v>
      </c>
      <c r="K35" s="543" t="s">
        <v>949</v>
      </c>
      <c r="L35" s="543">
        <v>1</v>
      </c>
      <c r="M35" s="543" t="s">
        <v>949</v>
      </c>
    </row>
    <row r="36" spans="1:13">
      <c r="A36" s="104" t="s">
        <v>950</v>
      </c>
      <c r="B36" s="593">
        <v>31.979673609999999</v>
      </c>
      <c r="C36" s="654">
        <v>0.31979673609999998</v>
      </c>
      <c r="F36" s="88" t="str">
        <f>'G-1 All Habitats'!B35</f>
        <v>Heathland and shrub - Sea buckthorn scrub (Annex 1)</v>
      </c>
      <c r="G36" s="543">
        <v>10</v>
      </c>
      <c r="H36" s="543">
        <v>7</v>
      </c>
      <c r="I36" s="543">
        <v>5</v>
      </c>
      <c r="J36" s="543">
        <v>3</v>
      </c>
      <c r="K36" s="543">
        <v>1</v>
      </c>
      <c r="L36" s="543" t="s">
        <v>949</v>
      </c>
      <c r="M36" s="543" t="s">
        <v>949</v>
      </c>
    </row>
    <row r="37" spans="1:13">
      <c r="A37" s="283" t="s">
        <v>949</v>
      </c>
      <c r="B37" s="655" t="s">
        <v>939</v>
      </c>
      <c r="C37" s="655" t="s">
        <v>939</v>
      </c>
      <c r="F37" s="88" t="str">
        <f>'G-1 All Habitats'!B36</f>
        <v>Heathland and shrub - Sea buckthorn scrub (other)</v>
      </c>
      <c r="G37" s="543" t="s">
        <v>949</v>
      </c>
      <c r="H37" s="543" t="s">
        <v>949</v>
      </c>
      <c r="I37" s="543" t="s">
        <v>949</v>
      </c>
      <c r="J37" s="543" t="s">
        <v>949</v>
      </c>
      <c r="K37" s="543" t="s">
        <v>949</v>
      </c>
      <c r="L37" s="543">
        <v>1</v>
      </c>
      <c r="M37" s="543" t="s">
        <v>949</v>
      </c>
    </row>
    <row r="38" spans="1:13">
      <c r="A38" s="42"/>
      <c r="B38" s="42"/>
      <c r="C38" s="42"/>
      <c r="F38" s="88" t="str">
        <f>'G-1 All Habitats'!B37</f>
        <v>Heathland and shrub - Upland Heathland</v>
      </c>
      <c r="G38" s="543">
        <v>30</v>
      </c>
      <c r="H38" s="543">
        <v>25</v>
      </c>
      <c r="I38" s="543">
        <v>20</v>
      </c>
      <c r="J38" s="543">
        <v>15</v>
      </c>
      <c r="K38" s="543">
        <v>10</v>
      </c>
      <c r="L38" s="543" t="s">
        <v>949</v>
      </c>
      <c r="M38" s="543" t="s">
        <v>949</v>
      </c>
    </row>
    <row r="39" spans="1:13" ht="55.15">
      <c r="A39" s="284" t="s">
        <v>951</v>
      </c>
      <c r="B39" s="42"/>
      <c r="C39" s="42"/>
      <c r="F39" s="88" t="str">
        <f>'G-1 All Habitats'!B38</f>
        <v>Lakes - Aquifer fed naturally fluctuating water bodies</v>
      </c>
      <c r="G39" s="543">
        <v>30</v>
      </c>
      <c r="H39" s="543">
        <v>20</v>
      </c>
      <c r="I39" s="543">
        <v>15</v>
      </c>
      <c r="J39" s="543">
        <v>10</v>
      </c>
      <c r="K39" s="543">
        <v>1</v>
      </c>
      <c r="L39" s="543" t="s">
        <v>949</v>
      </c>
      <c r="M39" s="543" t="s">
        <v>949</v>
      </c>
    </row>
    <row r="40" spans="1:13">
      <c r="A40" s="103" t="s">
        <v>946</v>
      </c>
      <c r="B40" s="42"/>
      <c r="C40" s="42"/>
      <c r="F40" s="88" t="str">
        <f>'G-1 All Habitats'!B40</f>
        <v>Lakes - High alkalinity lakes</v>
      </c>
      <c r="G40" s="543">
        <v>30</v>
      </c>
      <c r="H40" s="543">
        <v>20</v>
      </c>
      <c r="I40" s="543">
        <v>10</v>
      </c>
      <c r="J40" s="543">
        <v>7</v>
      </c>
      <c r="K40" s="543">
        <v>5</v>
      </c>
      <c r="L40" s="543" t="s">
        <v>949</v>
      </c>
      <c r="M40" s="543" t="s">
        <v>949</v>
      </c>
    </row>
    <row r="41" spans="1:13">
      <c r="A41" s="543">
        <v>0</v>
      </c>
      <c r="B41" s="42"/>
      <c r="C41" s="42"/>
      <c r="F41" s="88" t="str">
        <f>'G-1 All Habitats'!B41</f>
        <v>Lakes - Low alkalinity lakes</v>
      </c>
      <c r="G41" s="543">
        <v>30</v>
      </c>
      <c r="H41" s="543">
        <v>20</v>
      </c>
      <c r="I41" s="543">
        <v>10</v>
      </c>
      <c r="J41" s="543">
        <v>7</v>
      </c>
      <c r="K41" s="543">
        <v>5</v>
      </c>
      <c r="L41" s="543" t="s">
        <v>949</v>
      </c>
      <c r="M41" s="543" t="s">
        <v>949</v>
      </c>
    </row>
    <row r="42" spans="1:13">
      <c r="A42" s="543">
        <v>1</v>
      </c>
      <c r="B42" s="42"/>
      <c r="C42" s="42"/>
      <c r="F42" s="88" t="str">
        <f>'G-1 All Habitats'!B42</f>
        <v>Lakes - Marl Lakes</v>
      </c>
      <c r="G42" s="543">
        <v>30</v>
      </c>
      <c r="H42" s="543">
        <v>20</v>
      </c>
      <c r="I42" s="543">
        <v>10</v>
      </c>
      <c r="J42" s="543">
        <v>7</v>
      </c>
      <c r="K42" s="543">
        <v>5</v>
      </c>
      <c r="L42" s="543" t="s">
        <v>949</v>
      </c>
      <c r="M42" s="543" t="s">
        <v>949</v>
      </c>
    </row>
    <row r="43" spans="1:13">
      <c r="A43" s="543">
        <v>2</v>
      </c>
      <c r="B43" s="42"/>
      <c r="C43" s="42"/>
      <c r="F43" s="88" t="str">
        <f>'G-1 All Habitats'!B43</f>
        <v>Lakes - Moderate alkalinity lakes</v>
      </c>
      <c r="G43" s="543">
        <v>30</v>
      </c>
      <c r="H43" s="543">
        <v>20</v>
      </c>
      <c r="I43" s="543">
        <v>10</v>
      </c>
      <c r="J43" s="543">
        <v>7</v>
      </c>
      <c r="K43" s="543">
        <v>5</v>
      </c>
      <c r="L43" s="543" t="s">
        <v>949</v>
      </c>
      <c r="M43" s="543" t="s">
        <v>949</v>
      </c>
    </row>
    <row r="44" spans="1:13">
      <c r="A44" s="543">
        <v>3</v>
      </c>
      <c r="B44" s="42"/>
      <c r="C44" s="42"/>
      <c r="F44" s="88" t="str">
        <f>'G-1 All Habitats'!B44</f>
        <v>Lakes - Peat Lakes</v>
      </c>
      <c r="G44" s="543">
        <v>30</v>
      </c>
      <c r="H44" s="543">
        <v>20</v>
      </c>
      <c r="I44" s="543">
        <v>10</v>
      </c>
      <c r="J44" s="543">
        <v>7</v>
      </c>
      <c r="K44" s="543">
        <v>5</v>
      </c>
      <c r="L44" s="543" t="s">
        <v>949</v>
      </c>
      <c r="M44" s="543" t="s">
        <v>949</v>
      </c>
    </row>
    <row r="45" spans="1:13">
      <c r="A45" s="543">
        <v>4</v>
      </c>
      <c r="B45" s="42"/>
      <c r="C45" s="42"/>
      <c r="F45" s="88" t="str">
        <f>'G-1 All Habitats'!B45</f>
        <v>Lakes - Ponds (Priority Habitat)</v>
      </c>
      <c r="G45" s="543">
        <v>5</v>
      </c>
      <c r="H45" s="543">
        <v>4</v>
      </c>
      <c r="I45" s="543">
        <v>3</v>
      </c>
      <c r="J45" s="543">
        <v>2</v>
      </c>
      <c r="K45" s="543">
        <v>1</v>
      </c>
      <c r="L45" s="543" t="s">
        <v>949</v>
      </c>
      <c r="M45" s="543" t="s">
        <v>949</v>
      </c>
    </row>
    <row r="46" spans="1:13">
      <c r="A46" s="543">
        <v>5</v>
      </c>
      <c r="B46" s="42"/>
      <c r="C46" s="42"/>
      <c r="F46" s="88" t="str">
        <f>'G-1 All Habitats'!B46</f>
        <v>Lakes - Ponds (Non- Priority Habitat)</v>
      </c>
      <c r="G46" s="543">
        <v>5</v>
      </c>
      <c r="H46" s="543">
        <v>4</v>
      </c>
      <c r="I46" s="543">
        <v>3</v>
      </c>
      <c r="J46" s="543">
        <v>2</v>
      </c>
      <c r="K46" s="543">
        <v>1</v>
      </c>
      <c r="L46" s="543" t="s">
        <v>949</v>
      </c>
      <c r="M46" s="543" t="s">
        <v>949</v>
      </c>
    </row>
    <row r="47" spans="1:13">
      <c r="A47" s="543">
        <v>6</v>
      </c>
      <c r="B47" s="42"/>
      <c r="C47" s="42"/>
      <c r="F47" s="88" t="str">
        <f>'G-1 All Habitats'!B47</f>
        <v>Lakes - Reservoirs</v>
      </c>
      <c r="G47" s="543">
        <v>10</v>
      </c>
      <c r="H47" s="543">
        <v>7</v>
      </c>
      <c r="I47" s="543">
        <v>5</v>
      </c>
      <c r="J47" s="543">
        <v>3</v>
      </c>
      <c r="K47" s="543">
        <v>1</v>
      </c>
      <c r="L47" s="543" t="s">
        <v>949</v>
      </c>
      <c r="M47" s="543" t="s">
        <v>949</v>
      </c>
    </row>
    <row r="48" spans="1:13">
      <c r="A48" s="543">
        <v>7</v>
      </c>
      <c r="B48" s="42"/>
      <c r="C48" s="42"/>
      <c r="F48" s="88" t="str">
        <f>'G-1 All Habitats'!B48</f>
        <v>Lakes - Temporary lakes, ponds and pools</v>
      </c>
      <c r="G48" s="543">
        <v>5</v>
      </c>
      <c r="H48" s="543">
        <v>4</v>
      </c>
      <c r="I48" s="543">
        <v>3</v>
      </c>
      <c r="J48" s="543">
        <v>2</v>
      </c>
      <c r="K48" s="543">
        <v>1</v>
      </c>
      <c r="L48" s="543" t="s">
        <v>949</v>
      </c>
      <c r="M48" s="543" t="s">
        <v>949</v>
      </c>
    </row>
    <row r="49" spans="1:13">
      <c r="A49" s="543">
        <v>8</v>
      </c>
      <c r="B49" s="42"/>
      <c r="C49" s="42"/>
      <c r="F49" s="88" t="str">
        <f>'G-1 All Habitats'!B49</f>
        <v>Sparsely vegetated land - Calaminarian grasslands</v>
      </c>
      <c r="G49" s="543">
        <v>10</v>
      </c>
      <c r="H49" s="543">
        <v>7</v>
      </c>
      <c r="I49" s="543">
        <v>5</v>
      </c>
      <c r="J49" s="543">
        <v>3</v>
      </c>
      <c r="K49" s="543">
        <v>2</v>
      </c>
      <c r="L49" s="543" t="s">
        <v>949</v>
      </c>
      <c r="M49" s="543" t="s">
        <v>949</v>
      </c>
    </row>
    <row r="50" spans="1:13">
      <c r="A50" s="543">
        <v>9</v>
      </c>
      <c r="B50" s="42"/>
      <c r="C50" s="42"/>
      <c r="F50" s="88" t="str">
        <f>'G-1 All Habitats'!B50</f>
        <v>Sparsely vegetated land - Coastal sand dunes</v>
      </c>
      <c r="G50" s="543">
        <v>20</v>
      </c>
      <c r="H50" s="543">
        <v>15</v>
      </c>
      <c r="I50" s="543">
        <v>10</v>
      </c>
      <c r="J50" s="543">
        <v>7</v>
      </c>
      <c r="K50" s="543">
        <v>5</v>
      </c>
      <c r="L50" s="543" t="s">
        <v>949</v>
      </c>
      <c r="M50" s="543" t="s">
        <v>949</v>
      </c>
    </row>
    <row r="51" spans="1:13">
      <c r="A51" s="543">
        <v>10</v>
      </c>
      <c r="B51" s="42"/>
      <c r="C51" s="42"/>
      <c r="F51" s="88" t="str">
        <f>'G-1 All Habitats'!B51</f>
        <v>Sparsely vegetated land - Coastal vegetated shingle</v>
      </c>
      <c r="G51" s="543">
        <v>20</v>
      </c>
      <c r="H51" s="543">
        <v>15</v>
      </c>
      <c r="I51" s="543">
        <v>10</v>
      </c>
      <c r="J51" s="543">
        <v>7</v>
      </c>
      <c r="K51" s="543">
        <v>5</v>
      </c>
      <c r="L51" s="543" t="s">
        <v>949</v>
      </c>
      <c r="M51" s="543" t="s">
        <v>949</v>
      </c>
    </row>
    <row r="52" spans="1:13">
      <c r="A52" s="543">
        <v>11</v>
      </c>
      <c r="B52" s="42"/>
      <c r="C52" s="42"/>
      <c r="F52" s="88" t="str">
        <f>'G-1 All Habitats'!B52</f>
        <v>Sparsely vegetated land - Ruderal/Ephemeral</v>
      </c>
      <c r="G52" s="543">
        <v>5</v>
      </c>
      <c r="H52" s="543">
        <v>4</v>
      </c>
      <c r="I52" s="543">
        <v>3</v>
      </c>
      <c r="J52" s="543">
        <v>2</v>
      </c>
      <c r="K52" s="543">
        <v>1</v>
      </c>
      <c r="L52" s="543" t="s">
        <v>949</v>
      </c>
      <c r="M52" s="543" t="s">
        <v>949</v>
      </c>
    </row>
    <row r="53" spans="1:13">
      <c r="A53" s="543">
        <v>12</v>
      </c>
      <c r="B53" s="42"/>
      <c r="C53" s="42"/>
      <c r="F53" s="88" t="str">
        <f>'G-1 All Habitats'!B53</f>
        <v>Sparsely vegetated land - Inland rock outcrop and scree habitats</v>
      </c>
      <c r="G53" s="543" t="s">
        <v>950</v>
      </c>
      <c r="H53" s="543">
        <v>25</v>
      </c>
      <c r="I53" s="543">
        <v>20</v>
      </c>
      <c r="J53" s="543">
        <v>15</v>
      </c>
      <c r="K53" s="543">
        <v>10</v>
      </c>
      <c r="L53" s="543" t="s">
        <v>949</v>
      </c>
      <c r="M53" s="543" t="s">
        <v>949</v>
      </c>
    </row>
    <row r="54" spans="1:13">
      <c r="A54" s="543">
        <v>13</v>
      </c>
      <c r="B54" s="42"/>
      <c r="C54" s="42"/>
      <c r="F54" s="88" t="str">
        <f>'G-1 All Habitats'!B54</f>
        <v>Sparsely vegetated land - Limestone pavement</v>
      </c>
      <c r="G54" s="543" t="s">
        <v>950</v>
      </c>
      <c r="H54" s="543" t="s">
        <v>950</v>
      </c>
      <c r="I54" s="543" t="s">
        <v>950</v>
      </c>
      <c r="J54" s="543" t="s">
        <v>950</v>
      </c>
      <c r="K54" s="543" t="s">
        <v>950</v>
      </c>
      <c r="L54" s="543" t="s">
        <v>949</v>
      </c>
      <c r="M54" s="543" t="s">
        <v>949</v>
      </c>
    </row>
    <row r="55" spans="1:13">
      <c r="A55" s="543">
        <v>14</v>
      </c>
      <c r="B55" s="42"/>
      <c r="C55" s="42"/>
      <c r="F55" s="88" t="str">
        <f>'G-1 All Habitats'!B55</f>
        <v>Sparsely vegetated land - Maritime cliff and slopes</v>
      </c>
      <c r="G55" s="543">
        <v>20</v>
      </c>
      <c r="H55" s="543">
        <v>15</v>
      </c>
      <c r="I55" s="543">
        <v>10</v>
      </c>
      <c r="J55" s="543">
        <v>7</v>
      </c>
      <c r="K55" s="543">
        <v>5</v>
      </c>
      <c r="L55" s="543" t="s">
        <v>949</v>
      </c>
      <c r="M55" s="543" t="s">
        <v>949</v>
      </c>
    </row>
    <row r="56" spans="1:13">
      <c r="A56" s="543">
        <v>15</v>
      </c>
      <c r="B56" s="42"/>
      <c r="C56" s="42"/>
      <c r="F56" s="88" t="str">
        <f>'G-1 All Habitats'!B56</f>
        <v>Sparsely vegetated land - Other inland rock and scree</v>
      </c>
      <c r="G56" s="543">
        <v>20</v>
      </c>
      <c r="H56" s="543">
        <v>15</v>
      </c>
      <c r="I56" s="543">
        <v>10</v>
      </c>
      <c r="J56" s="543">
        <v>7</v>
      </c>
      <c r="K56" s="543">
        <v>5</v>
      </c>
      <c r="L56" s="543" t="s">
        <v>949</v>
      </c>
      <c r="M56" s="543" t="s">
        <v>949</v>
      </c>
    </row>
    <row r="57" spans="1:13">
      <c r="A57" s="543">
        <v>16</v>
      </c>
      <c r="B57" s="42"/>
      <c r="C57" s="42"/>
      <c r="F57" s="88" t="str">
        <f>'G-1 All Habitats'!B57</f>
        <v>Urban - Allotments</v>
      </c>
      <c r="G57" s="543">
        <v>1</v>
      </c>
      <c r="H57" s="543">
        <v>1</v>
      </c>
      <c r="I57" s="543">
        <v>1</v>
      </c>
      <c r="J57" s="543">
        <v>1</v>
      </c>
      <c r="K57" s="543">
        <v>1</v>
      </c>
      <c r="L57" s="543" t="s">
        <v>949</v>
      </c>
      <c r="M57" s="543" t="s">
        <v>949</v>
      </c>
    </row>
    <row r="58" spans="1:13">
      <c r="A58" s="543">
        <v>17</v>
      </c>
      <c r="B58" s="42"/>
      <c r="C58" s="42"/>
      <c r="F58" s="88" t="str">
        <f>'G-1 All Habitats'!B39</f>
        <v>Lakes - Ornamental lake or pond</v>
      </c>
      <c r="G58" s="543">
        <v>5</v>
      </c>
      <c r="H58" s="543">
        <v>4</v>
      </c>
      <c r="I58" s="543">
        <v>3</v>
      </c>
      <c r="J58" s="543">
        <v>2</v>
      </c>
      <c r="K58" s="543">
        <v>1</v>
      </c>
      <c r="L58" s="543" t="s">
        <v>949</v>
      </c>
      <c r="M58" s="543" t="s">
        <v>949</v>
      </c>
    </row>
    <row r="59" spans="1:13">
      <c r="A59" s="543">
        <v>18</v>
      </c>
      <c r="B59" s="42"/>
      <c r="C59" s="42"/>
      <c r="F59" s="88" t="str">
        <f>'G-1 All Habitats'!B58</f>
        <v>Urban - Artificial unvegetated, unsealed surface</v>
      </c>
      <c r="G59" s="543" t="s">
        <v>949</v>
      </c>
      <c r="H59" s="543" t="s">
        <v>949</v>
      </c>
      <c r="I59" s="543" t="s">
        <v>949</v>
      </c>
      <c r="J59" s="543" t="s">
        <v>949</v>
      </c>
      <c r="K59" s="543" t="s">
        <v>949</v>
      </c>
      <c r="L59" s="543" t="s">
        <v>949</v>
      </c>
      <c r="M59" s="543">
        <v>0</v>
      </c>
    </row>
    <row r="60" spans="1:13">
      <c r="A60" s="543">
        <v>19</v>
      </c>
      <c r="B60" s="42"/>
      <c r="C60" s="42"/>
      <c r="F60" s="88" t="str">
        <f>'G-1 All Habitats'!B59</f>
        <v>Urban - Bioswale</v>
      </c>
      <c r="G60" s="543">
        <v>3</v>
      </c>
      <c r="H60" s="543">
        <v>2</v>
      </c>
      <c r="I60" s="543">
        <v>1</v>
      </c>
      <c r="J60" s="543">
        <v>1</v>
      </c>
      <c r="K60" s="543">
        <v>1</v>
      </c>
      <c r="L60" s="543" t="s">
        <v>949</v>
      </c>
      <c r="M60" s="543" t="s">
        <v>949</v>
      </c>
    </row>
    <row r="61" spans="1:13">
      <c r="A61" s="543">
        <v>20</v>
      </c>
      <c r="B61" s="42"/>
      <c r="C61" s="42"/>
      <c r="F61" s="88" t="str">
        <f>'G-1 All Habitats'!B60</f>
        <v>Urban - Intensive green roof</v>
      </c>
      <c r="G61" s="543">
        <v>5</v>
      </c>
      <c r="H61" s="543">
        <v>4</v>
      </c>
      <c r="I61" s="543">
        <v>3</v>
      </c>
      <c r="J61" s="543">
        <v>2</v>
      </c>
      <c r="K61" s="543">
        <v>1</v>
      </c>
      <c r="L61" s="543" t="s">
        <v>949</v>
      </c>
      <c r="M61" s="543" t="s">
        <v>949</v>
      </c>
    </row>
    <row r="62" spans="1:13">
      <c r="A62" s="543">
        <v>21</v>
      </c>
      <c r="B62" s="42"/>
      <c r="C62" s="42"/>
      <c r="F62" s="88" t="str">
        <f>'G-1 All Habitats'!B61</f>
        <v>Urban - Built linear features</v>
      </c>
      <c r="G62" s="543" t="s">
        <v>949</v>
      </c>
      <c r="H62" s="543" t="s">
        <v>949</v>
      </c>
      <c r="I62" s="543" t="s">
        <v>949</v>
      </c>
      <c r="J62" s="543" t="s">
        <v>949</v>
      </c>
      <c r="K62" s="543" t="s">
        <v>949</v>
      </c>
      <c r="L62" s="543" t="s">
        <v>949</v>
      </c>
      <c r="M62" s="543">
        <v>0</v>
      </c>
    </row>
    <row r="63" spans="1:13">
      <c r="A63" s="543">
        <v>22</v>
      </c>
      <c r="B63" s="42"/>
      <c r="C63" s="42"/>
      <c r="F63" s="88" t="str">
        <f>'G-1 All Habitats'!B62</f>
        <v>Urban - Cemeteries and churchyards</v>
      </c>
      <c r="G63" s="543">
        <v>20</v>
      </c>
      <c r="H63" s="543">
        <v>17</v>
      </c>
      <c r="I63" s="543">
        <v>15</v>
      </c>
      <c r="J63" s="543">
        <v>12</v>
      </c>
      <c r="K63" s="543">
        <v>10</v>
      </c>
      <c r="L63" s="543" t="s">
        <v>949</v>
      </c>
      <c r="M63" s="543" t="s">
        <v>949</v>
      </c>
    </row>
    <row r="64" spans="1:13">
      <c r="A64" s="543">
        <v>23</v>
      </c>
      <c r="B64" s="42"/>
      <c r="C64" s="42"/>
      <c r="F64" s="88" t="str">
        <f>'G-1 All Habitats'!B63</f>
        <v>Urban - Developed land; sealed surface</v>
      </c>
      <c r="G64" s="543" t="s">
        <v>949</v>
      </c>
      <c r="H64" s="543" t="s">
        <v>949</v>
      </c>
      <c r="I64" s="543" t="s">
        <v>949</v>
      </c>
      <c r="J64" s="543" t="s">
        <v>949</v>
      </c>
      <c r="K64" s="543" t="s">
        <v>949</v>
      </c>
      <c r="L64" s="543" t="s">
        <v>949</v>
      </c>
      <c r="M64" s="543">
        <v>0</v>
      </c>
    </row>
    <row r="65" spans="1:13">
      <c r="A65" s="543">
        <v>24</v>
      </c>
      <c r="B65" s="42"/>
      <c r="C65" s="42"/>
      <c r="F65" s="88" t="str">
        <f>'G-1 All Habitats'!B64</f>
        <v>Urban - Other green roof</v>
      </c>
      <c r="G65" s="543" t="s">
        <v>949</v>
      </c>
      <c r="H65" s="543" t="s">
        <v>949</v>
      </c>
      <c r="I65" s="543" t="s">
        <v>949</v>
      </c>
      <c r="J65" s="543" t="s">
        <v>949</v>
      </c>
      <c r="K65" s="543" t="s">
        <v>949</v>
      </c>
      <c r="L65" s="543">
        <v>1</v>
      </c>
      <c r="M65" s="543" t="s">
        <v>949</v>
      </c>
    </row>
    <row r="66" spans="1:13">
      <c r="A66" s="543">
        <v>25</v>
      </c>
      <c r="B66" s="42"/>
      <c r="C66" s="42"/>
      <c r="F66" s="88" t="str">
        <f>'G-1 All Habitats'!B65</f>
        <v>Urban - Facade-bound green wall</v>
      </c>
      <c r="G66" s="543">
        <v>5</v>
      </c>
      <c r="H66" s="543">
        <v>4</v>
      </c>
      <c r="I66" s="543">
        <v>3</v>
      </c>
      <c r="J66" s="543">
        <v>2</v>
      </c>
      <c r="K66" s="543">
        <v>1</v>
      </c>
      <c r="L66" s="543" t="s">
        <v>949</v>
      </c>
      <c r="M66" s="543" t="s">
        <v>949</v>
      </c>
    </row>
    <row r="67" spans="1:13">
      <c r="A67" s="543">
        <v>26</v>
      </c>
      <c r="B67" s="42"/>
      <c r="C67" s="42"/>
      <c r="F67" s="88" t="str">
        <f>'G-1 All Habitats'!B66</f>
        <v>Urban - Ground based green wall</v>
      </c>
      <c r="G67" s="543">
        <v>5</v>
      </c>
      <c r="H67" s="543">
        <v>4</v>
      </c>
      <c r="I67" s="543">
        <v>3</v>
      </c>
      <c r="J67" s="543">
        <v>2</v>
      </c>
      <c r="K67" s="543">
        <v>1</v>
      </c>
      <c r="L67" s="543" t="s">
        <v>949</v>
      </c>
      <c r="M67" s="543" t="s">
        <v>949</v>
      </c>
    </row>
    <row r="68" spans="1:13">
      <c r="A68" s="543">
        <v>27</v>
      </c>
      <c r="B68" s="42"/>
      <c r="C68" s="42"/>
      <c r="F68" s="88" t="str">
        <f>'G-1 All Habitats'!B67</f>
        <v>Urban - Ground level planters</v>
      </c>
      <c r="G68" s="543" t="s">
        <v>949</v>
      </c>
      <c r="H68" s="543" t="s">
        <v>949</v>
      </c>
      <c r="I68" s="543" t="s">
        <v>949</v>
      </c>
      <c r="J68" s="543" t="s">
        <v>949</v>
      </c>
      <c r="K68" s="543" t="s">
        <v>949</v>
      </c>
      <c r="L68" s="543">
        <v>1</v>
      </c>
      <c r="M68" s="543" t="s">
        <v>949</v>
      </c>
    </row>
    <row r="69" spans="1:13">
      <c r="A69" s="543">
        <v>28</v>
      </c>
      <c r="B69" s="42"/>
      <c r="C69" s="42"/>
      <c r="F69" s="88" t="str">
        <f>'G-1 All Habitats'!B68</f>
        <v>Urban - Biodiverse green roof</v>
      </c>
      <c r="G69" s="543">
        <v>10</v>
      </c>
      <c r="H69" s="543">
        <v>8</v>
      </c>
      <c r="I69" s="543">
        <v>5</v>
      </c>
      <c r="J69" s="543">
        <v>3</v>
      </c>
      <c r="K69" s="543">
        <v>1</v>
      </c>
      <c r="L69" s="543" t="s">
        <v>949</v>
      </c>
      <c r="M69" s="543" t="s">
        <v>949</v>
      </c>
    </row>
    <row r="70" spans="1:13">
      <c r="A70" s="543">
        <v>29</v>
      </c>
      <c r="B70" s="42"/>
      <c r="C70" s="42"/>
      <c r="F70" s="88" t="str">
        <f>'G-1 All Habitats'!B69</f>
        <v>Urban - Introduced shrub</v>
      </c>
      <c r="G70" s="543" t="s">
        <v>949</v>
      </c>
      <c r="H70" s="543" t="s">
        <v>949</v>
      </c>
      <c r="I70" s="543" t="s">
        <v>949</v>
      </c>
      <c r="J70" s="543" t="s">
        <v>949</v>
      </c>
      <c r="K70" s="543" t="s">
        <v>949</v>
      </c>
      <c r="L70" s="543">
        <v>1</v>
      </c>
      <c r="M70" s="543" t="s">
        <v>949</v>
      </c>
    </row>
    <row r="71" spans="1:13">
      <c r="A71" s="543">
        <v>30</v>
      </c>
      <c r="B71" s="42"/>
      <c r="C71" s="42"/>
      <c r="F71" s="88" t="str">
        <f>'G-1 All Habitats'!B70</f>
        <v>Urban - Open Mosaic Habitats on Previously Developed Land</v>
      </c>
      <c r="G71" s="543">
        <v>10</v>
      </c>
      <c r="H71" s="543">
        <v>7</v>
      </c>
      <c r="I71" s="543">
        <v>4</v>
      </c>
      <c r="J71" s="543">
        <v>2</v>
      </c>
      <c r="K71" s="543">
        <v>0</v>
      </c>
      <c r="L71" s="543" t="s">
        <v>949</v>
      </c>
      <c r="M71" s="543" t="s">
        <v>949</v>
      </c>
    </row>
    <row r="72" spans="1:13">
      <c r="A72" s="543" t="s">
        <v>950</v>
      </c>
      <c r="B72" s="42"/>
      <c r="C72" s="42"/>
      <c r="F72" s="88" t="str">
        <f>'G-1 All Habitats'!B71</f>
        <v>Urban - Rain garden</v>
      </c>
      <c r="G72" s="543">
        <v>5</v>
      </c>
      <c r="H72" s="543">
        <v>4</v>
      </c>
      <c r="I72" s="543">
        <v>3</v>
      </c>
      <c r="J72" s="543">
        <v>2</v>
      </c>
      <c r="K72" s="543">
        <v>1</v>
      </c>
      <c r="L72" s="543" t="s">
        <v>949</v>
      </c>
      <c r="M72" s="543" t="s">
        <v>949</v>
      </c>
    </row>
    <row r="73" spans="1:13">
      <c r="A73" s="42"/>
      <c r="B73" s="42"/>
      <c r="C73" s="42"/>
      <c r="F73" s="88" t="str">
        <f>'G-1 All Habitats'!B72</f>
        <v>Urban - Actively worked sand pit quarry or open cast mine</v>
      </c>
      <c r="G73" s="543" t="s">
        <v>949</v>
      </c>
      <c r="H73" s="543" t="s">
        <v>949</v>
      </c>
      <c r="I73" s="543" t="s">
        <v>949</v>
      </c>
      <c r="J73" s="543" t="s">
        <v>949</v>
      </c>
      <c r="K73" s="543" t="s">
        <v>949</v>
      </c>
      <c r="L73" s="543">
        <v>1</v>
      </c>
      <c r="M73" s="543" t="s">
        <v>949</v>
      </c>
    </row>
    <row r="74" spans="1:13">
      <c r="A74" s="42"/>
      <c r="B74" s="42"/>
      <c r="C74" s="42"/>
      <c r="F74" s="88" t="str">
        <f>'G-1 All Habitats'!B73</f>
        <v>Urban - Urban Tree</v>
      </c>
      <c r="G74" s="543" t="s">
        <v>950</v>
      </c>
      <c r="H74" s="543" t="s">
        <v>950</v>
      </c>
      <c r="I74" s="543">
        <v>27</v>
      </c>
      <c r="J74" s="543">
        <v>15</v>
      </c>
      <c r="K74" s="543">
        <v>10</v>
      </c>
      <c r="L74" s="543" t="s">
        <v>949</v>
      </c>
      <c r="M74" s="543" t="s">
        <v>949</v>
      </c>
    </row>
    <row r="75" spans="1:13">
      <c r="A75" s="42"/>
      <c r="B75" s="42"/>
      <c r="C75" s="42"/>
      <c r="F75" s="88" t="str">
        <f>'G-1 All Habitats'!B74</f>
        <v>Urban - Sustainable urban drainage feature</v>
      </c>
      <c r="G75" s="543">
        <v>5</v>
      </c>
      <c r="H75" s="543">
        <v>4</v>
      </c>
      <c r="I75" s="543">
        <v>3</v>
      </c>
      <c r="J75" s="543">
        <v>2</v>
      </c>
      <c r="K75" s="543">
        <v>1</v>
      </c>
      <c r="L75" s="543" t="s">
        <v>949</v>
      </c>
      <c r="M75" s="543" t="s">
        <v>949</v>
      </c>
    </row>
    <row r="76" spans="1:13">
      <c r="A76" s="42"/>
      <c r="B76" s="42"/>
      <c r="C76" s="42"/>
      <c r="F76" s="88" t="str">
        <f>'G-1 All Habitats'!B75</f>
        <v>Urban - Un-vegetated garden</v>
      </c>
      <c r="G76" s="543" t="s">
        <v>949</v>
      </c>
      <c r="H76" s="543" t="s">
        <v>949</v>
      </c>
      <c r="I76" s="543" t="s">
        <v>949</v>
      </c>
      <c r="J76" s="543" t="s">
        <v>949</v>
      </c>
      <c r="K76" s="543" t="s">
        <v>949</v>
      </c>
      <c r="L76" s="543" t="s">
        <v>949</v>
      </c>
      <c r="M76" s="543">
        <v>0</v>
      </c>
    </row>
    <row r="77" spans="1:13">
      <c r="A77" s="42"/>
      <c r="B77" s="42"/>
      <c r="C77" s="42"/>
      <c r="F77" s="88" t="str">
        <f>'G-1 All Habitats'!B76</f>
        <v>Urban - Vacant/derelict land/ bareground</v>
      </c>
      <c r="G77" s="543">
        <v>5</v>
      </c>
      <c r="H77" s="543">
        <v>4</v>
      </c>
      <c r="I77" s="543">
        <v>3</v>
      </c>
      <c r="J77" s="543">
        <v>2</v>
      </c>
      <c r="K77" s="543">
        <v>1</v>
      </c>
      <c r="L77" s="543" t="s">
        <v>949</v>
      </c>
      <c r="M77" s="543" t="s">
        <v>949</v>
      </c>
    </row>
    <row r="78" spans="1:13">
      <c r="A78" s="42"/>
      <c r="B78" s="42"/>
      <c r="C78" s="42"/>
      <c r="F78" s="88" t="str">
        <f>'G-1 All Habitats'!B77</f>
        <v>Urban - Vegetated garden</v>
      </c>
      <c r="G78" s="543" t="s">
        <v>949</v>
      </c>
      <c r="H78" s="543" t="s">
        <v>949</v>
      </c>
      <c r="I78" s="543" t="s">
        <v>949</v>
      </c>
      <c r="J78" s="543" t="s">
        <v>949</v>
      </c>
      <c r="K78" s="543" t="s">
        <v>949</v>
      </c>
      <c r="L78" s="543">
        <v>1</v>
      </c>
      <c r="M78" s="543" t="s">
        <v>949</v>
      </c>
    </row>
    <row r="79" spans="1:13">
      <c r="A79" s="42"/>
      <c r="B79" s="42"/>
      <c r="C79" s="42"/>
      <c r="F79" s="88" t="str">
        <f>'G-1 All Habitats'!B78</f>
        <v>Wetland - Blanket bog</v>
      </c>
      <c r="G79" s="543" t="s">
        <v>950</v>
      </c>
      <c r="H79" s="543" t="s">
        <v>950</v>
      </c>
      <c r="I79" s="543" t="s">
        <v>950</v>
      </c>
      <c r="J79" s="543" t="s">
        <v>950</v>
      </c>
      <c r="K79" s="543" t="s">
        <v>950</v>
      </c>
      <c r="L79" s="543" t="s">
        <v>949</v>
      </c>
      <c r="M79" s="543" t="s">
        <v>949</v>
      </c>
    </row>
    <row r="80" spans="1:13">
      <c r="A80" s="42"/>
      <c r="B80" s="42"/>
      <c r="C80" s="42"/>
      <c r="F80" s="88" t="str">
        <f>'G-1 All Habitats'!B79</f>
        <v>Wetland - Depressions on Peat substrates (H7150)</v>
      </c>
      <c r="G80" s="543" t="s">
        <v>950</v>
      </c>
      <c r="H80" s="543" t="s">
        <v>950</v>
      </c>
      <c r="I80" s="543">
        <v>30</v>
      </c>
      <c r="J80" s="543">
        <v>25</v>
      </c>
      <c r="K80" s="543">
        <v>15</v>
      </c>
      <c r="L80" s="543" t="s">
        <v>949</v>
      </c>
      <c r="M80" s="543" t="s">
        <v>949</v>
      </c>
    </row>
    <row r="81" spans="1:13">
      <c r="A81" s="42"/>
      <c r="B81" s="42"/>
      <c r="C81" s="42"/>
      <c r="F81" s="88" t="str">
        <f>'G-1 All Habitats'!B80</f>
        <v>Wetland - Fens (upland and lowland)</v>
      </c>
      <c r="G81" s="543">
        <v>30</v>
      </c>
      <c r="H81" s="543">
        <v>25</v>
      </c>
      <c r="I81" s="543">
        <v>20</v>
      </c>
      <c r="J81" s="543">
        <v>15</v>
      </c>
      <c r="K81" s="543">
        <v>10</v>
      </c>
      <c r="L81" s="543" t="s">
        <v>949</v>
      </c>
      <c r="M81" s="543" t="s">
        <v>949</v>
      </c>
    </row>
    <row r="82" spans="1:13">
      <c r="A82" s="42"/>
      <c r="B82" s="42"/>
      <c r="C82" s="42"/>
      <c r="F82" s="88" t="str">
        <f>'G-1 All Habitats'!B81</f>
        <v>Wetland - Lowland raised bog</v>
      </c>
      <c r="G82" s="543" t="s">
        <v>950</v>
      </c>
      <c r="H82" s="543" t="s">
        <v>950</v>
      </c>
      <c r="I82" s="543">
        <v>30</v>
      </c>
      <c r="J82" s="543">
        <v>20</v>
      </c>
      <c r="K82" s="543">
        <v>15</v>
      </c>
      <c r="L82" s="543" t="s">
        <v>949</v>
      </c>
      <c r="M82" s="543" t="s">
        <v>949</v>
      </c>
    </row>
    <row r="83" spans="1:13">
      <c r="A83" s="42"/>
      <c r="B83" s="42"/>
      <c r="C83" s="42"/>
      <c r="F83" s="88" t="str">
        <f>'G-1 All Habitats'!B82</f>
        <v>Wetland - Oceanic Valley Mire[1] (D2.1)</v>
      </c>
      <c r="G83" s="543" t="s">
        <v>950</v>
      </c>
      <c r="H83" s="543" t="s">
        <v>950</v>
      </c>
      <c r="I83" s="543">
        <v>30</v>
      </c>
      <c r="J83" s="543">
        <v>20</v>
      </c>
      <c r="K83" s="543">
        <v>15</v>
      </c>
      <c r="L83" s="543" t="s">
        <v>949</v>
      </c>
      <c r="M83" s="543" t="s">
        <v>949</v>
      </c>
    </row>
    <row r="84" spans="1:13">
      <c r="A84" s="42"/>
      <c r="B84" s="42"/>
      <c r="C84" s="42"/>
      <c r="F84" s="88" t="str">
        <f>'G-1 All Habitats'!B83</f>
        <v>Wetland - Purple moor grass and rush pastures</v>
      </c>
      <c r="G84" s="543">
        <v>30</v>
      </c>
      <c r="H84" s="543">
        <v>25</v>
      </c>
      <c r="I84" s="543">
        <v>20</v>
      </c>
      <c r="J84" s="543">
        <v>15</v>
      </c>
      <c r="K84" s="543">
        <v>10</v>
      </c>
      <c r="L84" s="543" t="s">
        <v>949</v>
      </c>
      <c r="M84" s="543" t="s">
        <v>949</v>
      </c>
    </row>
    <row r="85" spans="1:13">
      <c r="A85" s="42"/>
      <c r="B85" s="42"/>
      <c r="C85" s="42"/>
      <c r="F85" s="88" t="str">
        <f>'G-1 All Habitats'!B84</f>
        <v>Wetland - Reedbeds</v>
      </c>
      <c r="G85" s="543">
        <v>12</v>
      </c>
      <c r="H85" s="543">
        <v>10</v>
      </c>
      <c r="I85" s="543">
        <v>7</v>
      </c>
      <c r="J85" s="543">
        <v>5</v>
      </c>
      <c r="K85" s="543">
        <v>3</v>
      </c>
      <c r="L85" s="543" t="s">
        <v>949</v>
      </c>
      <c r="M85" s="543" t="s">
        <v>949</v>
      </c>
    </row>
    <row r="86" spans="1:13">
      <c r="A86" s="42"/>
      <c r="B86" s="42"/>
      <c r="C86" s="42"/>
      <c r="F86" s="88" t="str">
        <f>'G-1 All Habitats'!B85</f>
        <v>Wetland - Transition mires and quaking bogs (H7140)</v>
      </c>
      <c r="G86" s="543" t="s">
        <v>950</v>
      </c>
      <c r="H86" s="543" t="s">
        <v>950</v>
      </c>
      <c r="I86" s="543">
        <v>30</v>
      </c>
      <c r="J86" s="543">
        <v>25</v>
      </c>
      <c r="K86" s="543">
        <v>15</v>
      </c>
      <c r="L86" s="543" t="s">
        <v>949</v>
      </c>
      <c r="M86" s="543" t="s">
        <v>949</v>
      </c>
    </row>
    <row r="87" spans="1:13">
      <c r="A87" s="42"/>
      <c r="B87" s="42"/>
      <c r="C87" s="42"/>
      <c r="F87" s="88" t="str">
        <f>'G-1 All Habitats'!B86</f>
        <v>Woodland and forest - Felled</v>
      </c>
      <c r="G87" s="543" t="s">
        <v>950</v>
      </c>
      <c r="H87" s="543" t="s">
        <v>949</v>
      </c>
      <c r="I87" s="543" t="s">
        <v>949</v>
      </c>
      <c r="J87" s="543" t="s">
        <v>949</v>
      </c>
      <c r="K87" s="543" t="s">
        <v>949</v>
      </c>
      <c r="L87" s="543" t="s">
        <v>949</v>
      </c>
      <c r="M87" s="543" t="s">
        <v>949</v>
      </c>
    </row>
    <row r="88" spans="1:13">
      <c r="A88" s="42"/>
      <c r="B88" s="42"/>
      <c r="C88" s="42"/>
      <c r="F88" s="88" t="str">
        <f>'G-1 All Habitats'!B87</f>
        <v>Woodland and forest - Lowland beech and yew woodland</v>
      </c>
      <c r="G88" s="543" t="s">
        <v>950</v>
      </c>
      <c r="H88" s="543" t="s">
        <v>950</v>
      </c>
      <c r="I88" s="543" t="s">
        <v>950</v>
      </c>
      <c r="J88" s="543">
        <v>25</v>
      </c>
      <c r="K88" s="543">
        <v>10</v>
      </c>
      <c r="L88" s="543" t="s">
        <v>949</v>
      </c>
      <c r="M88" s="543" t="s">
        <v>949</v>
      </c>
    </row>
    <row r="89" spans="1:13">
      <c r="A89" s="42"/>
      <c r="B89" s="42"/>
      <c r="C89" s="42"/>
      <c r="F89" s="88" t="str">
        <f>'G-1 All Habitats'!B88</f>
        <v>Woodland and forest - Lowland mixed deciduous woodland</v>
      </c>
      <c r="G89" s="543" t="s">
        <v>950</v>
      </c>
      <c r="H89" s="543" t="s">
        <v>950</v>
      </c>
      <c r="I89" s="543" t="s">
        <v>950</v>
      </c>
      <c r="J89" s="543">
        <v>25</v>
      </c>
      <c r="K89" s="543">
        <v>10</v>
      </c>
      <c r="L89" s="543" t="s">
        <v>949</v>
      </c>
      <c r="M89" s="543" t="s">
        <v>949</v>
      </c>
    </row>
    <row r="90" spans="1:13">
      <c r="A90" s="42"/>
      <c r="B90" s="42"/>
      <c r="C90" s="42"/>
      <c r="F90" s="88" t="str">
        <f>'G-1 All Habitats'!B89</f>
        <v>Woodland and forest - Native pine woodlands</v>
      </c>
      <c r="G90" s="543" t="s">
        <v>950</v>
      </c>
      <c r="H90" s="543" t="s">
        <v>950</v>
      </c>
      <c r="I90" s="543" t="s">
        <v>950</v>
      </c>
      <c r="J90" s="543">
        <v>25</v>
      </c>
      <c r="K90" s="543">
        <v>10</v>
      </c>
      <c r="L90" s="543" t="s">
        <v>949</v>
      </c>
      <c r="M90" s="543" t="s">
        <v>949</v>
      </c>
    </row>
    <row r="91" spans="1:13">
      <c r="A91" s="42"/>
      <c r="B91" s="42"/>
      <c r="C91" s="42"/>
      <c r="F91" s="88" t="str">
        <f>'G-1 All Habitats'!B90</f>
        <v>Woodland and forest - Other coniferous woodland</v>
      </c>
      <c r="G91" s="543" t="s">
        <v>950</v>
      </c>
      <c r="H91" s="543" t="s">
        <v>950</v>
      </c>
      <c r="I91" s="543">
        <v>30</v>
      </c>
      <c r="J91" s="543">
        <v>10</v>
      </c>
      <c r="K91" s="543">
        <v>5</v>
      </c>
      <c r="L91" s="543" t="s">
        <v>949</v>
      </c>
      <c r="M91" s="543" t="s">
        <v>949</v>
      </c>
    </row>
    <row r="92" spans="1:13">
      <c r="A92" s="42"/>
      <c r="B92" s="42"/>
      <c r="C92" s="42"/>
      <c r="F92" s="88" t="str">
        <f>'G-1 All Habitats'!B91</f>
        <v>Woodland and forest - Other Scot's Pine woodland</v>
      </c>
      <c r="G92" s="543" t="s">
        <v>950</v>
      </c>
      <c r="H92" s="543" t="s">
        <v>950</v>
      </c>
      <c r="I92" s="543" t="s">
        <v>950</v>
      </c>
      <c r="J92" s="543">
        <v>25</v>
      </c>
      <c r="K92" s="543">
        <v>10</v>
      </c>
      <c r="L92" s="543" t="s">
        <v>949</v>
      </c>
      <c r="M92" s="543" t="s">
        <v>949</v>
      </c>
    </row>
    <row r="93" spans="1:13">
      <c r="A93" s="42"/>
      <c r="B93" s="42"/>
      <c r="C93" s="42"/>
      <c r="F93" s="88" t="str">
        <f>'G-1 All Habitats'!B92</f>
        <v>Woodland and forest - Other woodland; broadleaved</v>
      </c>
      <c r="G93" s="543" t="s">
        <v>950</v>
      </c>
      <c r="H93" s="543">
        <v>25</v>
      </c>
      <c r="I93" s="543">
        <v>15</v>
      </c>
      <c r="J93" s="543">
        <v>7</v>
      </c>
      <c r="K93" s="543">
        <v>5</v>
      </c>
      <c r="L93" s="543" t="s">
        <v>949</v>
      </c>
      <c r="M93" s="543" t="s">
        <v>949</v>
      </c>
    </row>
    <row r="94" spans="1:13">
      <c r="A94" s="42"/>
      <c r="B94" s="42"/>
      <c r="C94" s="42"/>
      <c r="F94" s="88" t="str">
        <f>'G-1 All Habitats'!B93</f>
        <v>Woodland and forest - Other woodland; mixed</v>
      </c>
      <c r="G94" s="543" t="s">
        <v>950</v>
      </c>
      <c r="H94" s="543" t="s">
        <v>950</v>
      </c>
      <c r="I94" s="543">
        <v>30</v>
      </c>
      <c r="J94" s="543">
        <v>10</v>
      </c>
      <c r="K94" s="543">
        <v>5</v>
      </c>
      <c r="L94" s="543" t="s">
        <v>949</v>
      </c>
      <c r="M94" s="543" t="s">
        <v>949</v>
      </c>
    </row>
    <row r="95" spans="1:13">
      <c r="A95" s="42"/>
      <c r="B95" s="42"/>
      <c r="C95" s="42"/>
      <c r="F95" s="88" t="str">
        <f>'G-1 All Habitats'!B94</f>
        <v>Woodland and forest - Upland birchwoods</v>
      </c>
      <c r="G95" s="543" t="s">
        <v>950</v>
      </c>
      <c r="H95" s="543">
        <v>30</v>
      </c>
      <c r="I95" s="543">
        <v>25</v>
      </c>
      <c r="J95" s="543">
        <v>20</v>
      </c>
      <c r="K95" s="543">
        <v>10</v>
      </c>
      <c r="L95" s="543" t="s">
        <v>949</v>
      </c>
      <c r="M95" s="543" t="s">
        <v>949</v>
      </c>
    </row>
    <row r="96" spans="1:13">
      <c r="A96" s="42"/>
      <c r="B96" s="42"/>
      <c r="C96" s="42"/>
      <c r="F96" s="88" t="str">
        <f>'G-1 All Habitats'!B95</f>
        <v>Woodland and forest - Upland mixed ashwoods</v>
      </c>
      <c r="G96" s="543" t="s">
        <v>950</v>
      </c>
      <c r="H96" s="543" t="s">
        <v>950</v>
      </c>
      <c r="I96" s="543" t="s">
        <v>950</v>
      </c>
      <c r="J96" s="543">
        <v>25</v>
      </c>
      <c r="K96" s="543">
        <v>10</v>
      </c>
      <c r="L96" s="543" t="s">
        <v>949</v>
      </c>
      <c r="M96" s="543" t="s">
        <v>949</v>
      </c>
    </row>
    <row r="97" spans="1:13">
      <c r="A97" s="42"/>
      <c r="B97" s="42"/>
      <c r="C97" s="42"/>
      <c r="F97" s="88" t="str">
        <f>'G-1 All Habitats'!B96</f>
        <v>Woodland and forest - Upland oakwood</v>
      </c>
      <c r="G97" s="543" t="s">
        <v>950</v>
      </c>
      <c r="H97" s="543" t="s">
        <v>950</v>
      </c>
      <c r="I97" s="543" t="s">
        <v>950</v>
      </c>
      <c r="J97" s="543">
        <v>25</v>
      </c>
      <c r="K97" s="543">
        <v>10</v>
      </c>
      <c r="L97" s="543" t="s">
        <v>949</v>
      </c>
      <c r="M97" s="543" t="s">
        <v>949</v>
      </c>
    </row>
    <row r="98" spans="1:13">
      <c r="A98" s="42"/>
      <c r="B98" s="42"/>
      <c r="C98" s="42"/>
      <c r="F98" s="88" t="str">
        <f>'G-1 All Habitats'!B97</f>
        <v>Woodland and forest - Wet woodland</v>
      </c>
      <c r="G98" s="543" t="s">
        <v>950</v>
      </c>
      <c r="H98" s="543">
        <v>30</v>
      </c>
      <c r="I98" s="543">
        <v>15</v>
      </c>
      <c r="J98" s="543">
        <v>10</v>
      </c>
      <c r="K98" s="543">
        <v>5</v>
      </c>
      <c r="L98" s="543" t="s">
        <v>949</v>
      </c>
      <c r="M98" s="543" t="s">
        <v>949</v>
      </c>
    </row>
    <row r="99" spans="1:13">
      <c r="F99" s="88" t="str">
        <f>'G-1 All Habitats'!B98</f>
        <v>Woodland and forest - Wood-pasture and parkland</v>
      </c>
      <c r="G99" s="543" t="s">
        <v>950</v>
      </c>
      <c r="H99" s="543" t="s">
        <v>950</v>
      </c>
      <c r="I99" s="543" t="s">
        <v>950</v>
      </c>
      <c r="J99" s="543">
        <v>25</v>
      </c>
      <c r="K99" s="543">
        <v>10</v>
      </c>
      <c r="L99" s="543" t="s">
        <v>949</v>
      </c>
      <c r="M99" s="543" t="s">
        <v>949</v>
      </c>
    </row>
    <row r="100" spans="1:13">
      <c r="F100" s="88" t="str">
        <f>'G-1 All Habitats'!B99</f>
        <v>Coastal lagoons - Coastal lagoons</v>
      </c>
      <c r="G100" s="543">
        <v>10</v>
      </c>
      <c r="H100" s="543">
        <v>8</v>
      </c>
      <c r="I100" s="543">
        <v>5</v>
      </c>
      <c r="J100" s="543">
        <v>3</v>
      </c>
      <c r="K100" s="543">
        <v>1</v>
      </c>
      <c r="L100" s="543" t="s">
        <v>949</v>
      </c>
      <c r="M100" s="543" t="s">
        <v>949</v>
      </c>
    </row>
    <row r="101" spans="1:13">
      <c r="F101" s="88" t="str">
        <f>'G-1 All Habitats'!B100</f>
        <v>Rocky shore - High energy littoral rock</v>
      </c>
      <c r="G101" s="543">
        <v>10</v>
      </c>
      <c r="H101" s="543">
        <v>7</v>
      </c>
      <c r="I101" s="543">
        <v>4</v>
      </c>
      <c r="J101" s="543">
        <v>2</v>
      </c>
      <c r="K101" s="543">
        <v>1</v>
      </c>
      <c r="L101" s="543" t="s">
        <v>949</v>
      </c>
      <c r="M101" s="543" t="s">
        <v>949</v>
      </c>
    </row>
    <row r="102" spans="1:13">
      <c r="F102" s="88" t="str">
        <f>'G-1 All Habitats'!B101</f>
        <v>Rocky shore - High energy littoral rock - on peat, clay or chalk</v>
      </c>
      <c r="G102" s="543" t="s">
        <v>950</v>
      </c>
      <c r="H102" s="543" t="s">
        <v>950</v>
      </c>
      <c r="I102" s="543" t="s">
        <v>950</v>
      </c>
      <c r="J102" s="543" t="s">
        <v>950</v>
      </c>
      <c r="K102" s="543" t="s">
        <v>950</v>
      </c>
      <c r="L102" s="543" t="s">
        <v>949</v>
      </c>
      <c r="M102" s="543" t="s">
        <v>949</v>
      </c>
    </row>
    <row r="103" spans="1:13">
      <c r="F103" s="88" t="str">
        <f>'G-1 All Habitats'!B102</f>
        <v>Rocky shore - Moderate energy littoral rock</v>
      </c>
      <c r="G103" s="543">
        <v>13</v>
      </c>
      <c r="H103" s="543">
        <v>8</v>
      </c>
      <c r="I103" s="543">
        <v>4</v>
      </c>
      <c r="J103" s="543">
        <v>2</v>
      </c>
      <c r="K103" s="543">
        <v>1</v>
      </c>
      <c r="L103" s="543" t="s">
        <v>949</v>
      </c>
      <c r="M103" s="543" t="s">
        <v>949</v>
      </c>
    </row>
    <row r="104" spans="1:13">
      <c r="F104" s="88" t="str">
        <f>'G-1 All Habitats'!B103</f>
        <v>Rocky shore - Moderate energy littoral rock - on peat, clay or chalk</v>
      </c>
      <c r="G104" s="543" t="s">
        <v>950</v>
      </c>
      <c r="H104" s="543" t="s">
        <v>950</v>
      </c>
      <c r="I104" s="543" t="s">
        <v>950</v>
      </c>
      <c r="J104" s="543" t="s">
        <v>950</v>
      </c>
      <c r="K104" s="543" t="s">
        <v>950</v>
      </c>
      <c r="L104" s="543" t="s">
        <v>949</v>
      </c>
      <c r="M104" s="543" t="s">
        <v>949</v>
      </c>
    </row>
    <row r="105" spans="1:13">
      <c r="F105" s="88" t="str">
        <f>'G-1 All Habitats'!B104</f>
        <v>Rocky shore - Low energy littoral rock</v>
      </c>
      <c r="G105" s="543">
        <v>15</v>
      </c>
      <c r="H105" s="543">
        <v>10</v>
      </c>
      <c r="I105" s="543">
        <v>5</v>
      </c>
      <c r="J105" s="543">
        <v>1</v>
      </c>
      <c r="K105" s="543">
        <v>1</v>
      </c>
      <c r="L105" s="543" t="s">
        <v>949</v>
      </c>
      <c r="M105" s="543" t="s">
        <v>949</v>
      </c>
    </row>
    <row r="106" spans="1:13">
      <c r="F106" s="88" t="str">
        <f>'G-1 All Habitats'!B105</f>
        <v>Rocky shore - Low energy littoral rock - on peat, clay or chalk</v>
      </c>
      <c r="G106" s="543" t="s">
        <v>950</v>
      </c>
      <c r="H106" s="543" t="s">
        <v>950</v>
      </c>
      <c r="I106" s="543" t="s">
        <v>950</v>
      </c>
      <c r="J106" s="543" t="s">
        <v>950</v>
      </c>
      <c r="K106" s="543" t="s">
        <v>950</v>
      </c>
      <c r="L106" s="543" t="s">
        <v>949</v>
      </c>
      <c r="M106" s="543" t="s">
        <v>949</v>
      </c>
    </row>
    <row r="107" spans="1:13">
      <c r="F107" s="88" t="str">
        <f>'G-1 All Habitats'!B106</f>
        <v>Rocky shore - Features of littoral rock</v>
      </c>
      <c r="G107" s="543">
        <v>13</v>
      </c>
      <c r="H107" s="543">
        <v>8</v>
      </c>
      <c r="I107" s="543">
        <v>4</v>
      </c>
      <c r="J107" s="543">
        <v>2</v>
      </c>
      <c r="K107" s="543">
        <v>1</v>
      </c>
      <c r="L107" s="543" t="s">
        <v>949</v>
      </c>
      <c r="M107" s="543" t="s">
        <v>949</v>
      </c>
    </row>
    <row r="108" spans="1:13">
      <c r="F108" s="88" t="str">
        <f>'G-1 All Habitats'!B107</f>
        <v>Rocky shore - Features of littoral rock - on peat, clay or chalk</v>
      </c>
      <c r="G108" s="543" t="s">
        <v>950</v>
      </c>
      <c r="H108" s="543" t="s">
        <v>950</v>
      </c>
      <c r="I108" s="543" t="s">
        <v>950</v>
      </c>
      <c r="J108" s="543" t="s">
        <v>950</v>
      </c>
      <c r="K108" s="543" t="s">
        <v>950</v>
      </c>
      <c r="L108" s="543" t="s">
        <v>949</v>
      </c>
      <c r="M108" s="543" t="s">
        <v>949</v>
      </c>
    </row>
    <row r="109" spans="1:13">
      <c r="F109" s="88" t="str">
        <f>'G-1 All Habitats'!B110</f>
        <v>Intertidal sediment - Littoral coarse sediment</v>
      </c>
      <c r="G109" s="543">
        <v>3</v>
      </c>
      <c r="H109" s="543">
        <v>2</v>
      </c>
      <c r="I109" s="543">
        <v>1</v>
      </c>
      <c r="J109" s="543">
        <v>1</v>
      </c>
      <c r="K109" s="543">
        <v>1</v>
      </c>
      <c r="L109" s="543" t="s">
        <v>949</v>
      </c>
      <c r="M109" s="543" t="s">
        <v>949</v>
      </c>
    </row>
    <row r="110" spans="1:13">
      <c r="F110" s="88" t="str">
        <f>'G-1 All Habitats'!B111</f>
        <v>Intertidal sediment - Littoral mud</v>
      </c>
      <c r="G110" s="543">
        <v>6</v>
      </c>
      <c r="H110" s="543">
        <v>4</v>
      </c>
      <c r="I110" s="543">
        <v>3</v>
      </c>
      <c r="J110" s="543">
        <v>2</v>
      </c>
      <c r="K110" s="543">
        <v>1</v>
      </c>
      <c r="L110" s="543" t="s">
        <v>949</v>
      </c>
      <c r="M110" s="543" t="s">
        <v>949</v>
      </c>
    </row>
    <row r="111" spans="1:13">
      <c r="F111" s="88" t="str">
        <f>'G-1 All Habitats'!B112</f>
        <v>Intertidal sediment - Littoral mixed sediments</v>
      </c>
      <c r="G111" s="543">
        <v>5</v>
      </c>
      <c r="H111" s="543">
        <v>4</v>
      </c>
      <c r="I111" s="543">
        <v>3</v>
      </c>
      <c r="J111" s="543">
        <v>2</v>
      </c>
      <c r="K111" s="543">
        <v>1</v>
      </c>
      <c r="L111" s="543" t="s">
        <v>949</v>
      </c>
      <c r="M111" s="543" t="s">
        <v>949</v>
      </c>
    </row>
    <row r="112" spans="1:13">
      <c r="F112" s="88" t="str">
        <f>'G-1 All Habitats'!B108</f>
        <v>Coastal saltmarsh - Saltmarshes and saline reedbeds</v>
      </c>
      <c r="G112" s="543">
        <v>15</v>
      </c>
      <c r="H112" s="543">
        <v>10</v>
      </c>
      <c r="I112" s="543">
        <v>7</v>
      </c>
      <c r="J112" s="543">
        <v>3</v>
      </c>
      <c r="K112" s="543">
        <v>1</v>
      </c>
      <c r="L112" s="543" t="s">
        <v>949</v>
      </c>
      <c r="M112" s="543" t="s">
        <v>949</v>
      </c>
    </row>
    <row r="113" spans="6:13">
      <c r="F113" s="88" t="str">
        <f>'G-1 All Habitats'!B109</f>
        <v>Coastal saltmarsh - Artificial saltmarshes and saline reedbeds</v>
      </c>
      <c r="G113" s="543">
        <v>15</v>
      </c>
      <c r="H113" s="543">
        <v>10</v>
      </c>
      <c r="I113" s="543">
        <v>7</v>
      </c>
      <c r="J113" s="543">
        <v>3</v>
      </c>
      <c r="K113" s="543">
        <v>1</v>
      </c>
      <c r="L113" s="543" t="s">
        <v>949</v>
      </c>
      <c r="M113" s="543" t="s">
        <v>949</v>
      </c>
    </row>
    <row r="114" spans="6:13">
      <c r="F114" s="88" t="str">
        <f>'G-1 All Habitats'!B113</f>
        <v>Intertidal sediment - Littoral seagrass</v>
      </c>
      <c r="G114" s="543">
        <v>20</v>
      </c>
      <c r="H114" s="543">
        <v>15</v>
      </c>
      <c r="I114" s="543">
        <v>10</v>
      </c>
      <c r="J114" s="543">
        <v>5</v>
      </c>
      <c r="K114" s="543">
        <v>2</v>
      </c>
      <c r="L114" s="543" t="s">
        <v>949</v>
      </c>
      <c r="M114" s="543" t="s">
        <v>949</v>
      </c>
    </row>
    <row r="115" spans="6:13">
      <c r="F115" s="88" t="str">
        <f>'G-1 All Habitats'!B114</f>
        <v>Intertidal sediment - Littoral seagrass on peat, clay or chalk</v>
      </c>
      <c r="G115" s="543" t="s">
        <v>950</v>
      </c>
      <c r="H115" s="543" t="s">
        <v>950</v>
      </c>
      <c r="I115" s="543" t="s">
        <v>950</v>
      </c>
      <c r="J115" s="543" t="s">
        <v>950</v>
      </c>
      <c r="K115" s="543" t="s">
        <v>950</v>
      </c>
      <c r="L115" s="543" t="s">
        <v>949</v>
      </c>
      <c r="M115" s="543" t="s">
        <v>949</v>
      </c>
    </row>
    <row r="116" spans="6:13">
      <c r="F116" s="88" t="str">
        <f>'G-1 All Habitats'!B115</f>
        <v>Intertidal sediment - Littoral biogenic reefs - Mussels</v>
      </c>
      <c r="G116" s="543">
        <v>15</v>
      </c>
      <c r="H116" s="543">
        <v>10</v>
      </c>
      <c r="I116" s="543">
        <v>5</v>
      </c>
      <c r="J116" s="543">
        <v>3</v>
      </c>
      <c r="K116" s="543">
        <v>3</v>
      </c>
      <c r="L116" s="543" t="s">
        <v>949</v>
      </c>
      <c r="M116" s="543" t="s">
        <v>949</v>
      </c>
    </row>
    <row r="117" spans="6:13">
      <c r="F117" s="88" t="str">
        <f>'G-1 All Habitats'!B116</f>
        <v>Intertidal sediment - Littoral biogenic reefs - Sabellaria</v>
      </c>
      <c r="G117" s="543">
        <v>15</v>
      </c>
      <c r="H117" s="543">
        <v>10</v>
      </c>
      <c r="I117" s="543">
        <v>5</v>
      </c>
      <c r="J117" s="543">
        <v>3</v>
      </c>
      <c r="K117" s="543">
        <v>3</v>
      </c>
      <c r="L117" s="543" t="s">
        <v>949</v>
      </c>
      <c r="M117" s="543" t="s">
        <v>949</v>
      </c>
    </row>
    <row r="118" spans="6:13">
      <c r="F118" s="88" t="str">
        <f>'G-1 All Habitats'!B117</f>
        <v>Intertidal sediment - Features of littoral sediment</v>
      </c>
      <c r="G118" s="543">
        <v>10</v>
      </c>
      <c r="H118" s="543">
        <v>7</v>
      </c>
      <c r="I118" s="543">
        <v>5</v>
      </c>
      <c r="J118" s="543">
        <v>3</v>
      </c>
      <c r="K118" s="543">
        <v>3</v>
      </c>
      <c r="L118" s="543" t="s">
        <v>949</v>
      </c>
      <c r="M118" s="543" t="s">
        <v>949</v>
      </c>
    </row>
    <row r="119" spans="6:13">
      <c r="F119" s="88" t="str">
        <f>'G-1 All Habitats'!B118</f>
        <v>Intertidal sediment - Artificial littoral coarse sediment</v>
      </c>
      <c r="G119" s="543">
        <v>3</v>
      </c>
      <c r="H119" s="543">
        <v>2</v>
      </c>
      <c r="I119" s="543">
        <v>1</v>
      </c>
      <c r="J119" s="543">
        <v>1</v>
      </c>
      <c r="K119" s="543">
        <v>1</v>
      </c>
      <c r="L119" s="543" t="s">
        <v>949</v>
      </c>
      <c r="M119" s="543" t="s">
        <v>949</v>
      </c>
    </row>
    <row r="120" spans="6:13">
      <c r="F120" s="88" t="str">
        <f>'G-1 All Habitats'!B119</f>
        <v>Intertidal sediment - Artificial littoral mud</v>
      </c>
      <c r="G120" s="543">
        <v>6</v>
      </c>
      <c r="H120" s="543">
        <v>4</v>
      </c>
      <c r="I120" s="543">
        <v>3</v>
      </c>
      <c r="J120" s="543">
        <v>2</v>
      </c>
      <c r="K120" s="543">
        <v>1</v>
      </c>
      <c r="L120" s="543" t="s">
        <v>949</v>
      </c>
      <c r="M120" s="543" t="s">
        <v>949</v>
      </c>
    </row>
    <row r="121" spans="6:13">
      <c r="F121" s="88" t="str">
        <f>'G-1 All Habitats'!B120</f>
        <v>Intertidal sediment - Artificial littoral sand</v>
      </c>
      <c r="G121" s="543">
        <v>4</v>
      </c>
      <c r="H121" s="543">
        <v>2</v>
      </c>
      <c r="I121" s="543">
        <v>1</v>
      </c>
      <c r="J121" s="543">
        <v>1</v>
      </c>
      <c r="K121" s="543">
        <v>1</v>
      </c>
      <c r="L121" s="543" t="s">
        <v>949</v>
      </c>
      <c r="M121" s="543" t="s">
        <v>949</v>
      </c>
    </row>
    <row r="122" spans="6:13">
      <c r="F122" s="88" t="str">
        <f>'G-1 All Habitats'!B121</f>
        <v>Intertidal sediment - Artificial littoral muddy sand</v>
      </c>
      <c r="G122" s="543">
        <v>5</v>
      </c>
      <c r="H122" s="543">
        <v>4</v>
      </c>
      <c r="I122" s="543">
        <v>3</v>
      </c>
      <c r="J122" s="543">
        <v>2</v>
      </c>
      <c r="K122" s="543">
        <v>1</v>
      </c>
      <c r="L122" s="543" t="s">
        <v>949</v>
      </c>
      <c r="M122" s="543" t="s">
        <v>949</v>
      </c>
    </row>
    <row r="123" spans="6:13">
      <c r="F123" s="88" t="str">
        <f>'G-1 All Habitats'!B122</f>
        <v>Intertidal sediment - Artificial littoral mixed sediments</v>
      </c>
      <c r="G123" s="543">
        <v>5</v>
      </c>
      <c r="H123" s="543">
        <v>4</v>
      </c>
      <c r="I123" s="543">
        <v>3</v>
      </c>
      <c r="J123" s="543">
        <v>2</v>
      </c>
      <c r="K123" s="543">
        <v>1</v>
      </c>
      <c r="L123" s="543" t="s">
        <v>949</v>
      </c>
      <c r="M123" s="543" t="s">
        <v>949</v>
      </c>
    </row>
    <row r="124" spans="6:13">
      <c r="F124" s="88" t="str">
        <f>'G-1 All Habitats'!B123</f>
        <v>Intertidal sediment - Artificial littoral seagrass</v>
      </c>
      <c r="G124" s="543">
        <v>20</v>
      </c>
      <c r="H124" s="543">
        <v>15</v>
      </c>
      <c r="I124" s="543">
        <v>10</v>
      </c>
      <c r="J124" s="543">
        <v>5</v>
      </c>
      <c r="K124" s="543">
        <v>2</v>
      </c>
      <c r="L124" s="543" t="s">
        <v>949</v>
      </c>
      <c r="M124" s="543" t="s">
        <v>949</v>
      </c>
    </row>
    <row r="125" spans="6:13">
      <c r="F125" s="88" t="str">
        <f>'G-1 All Habitats'!B124</f>
        <v>Intertidal sediment - Artificial littoral biogenic reefs</v>
      </c>
      <c r="G125" s="543">
        <v>15</v>
      </c>
      <c r="H125" s="543">
        <v>10</v>
      </c>
      <c r="I125" s="543">
        <v>5</v>
      </c>
      <c r="J125" s="543">
        <v>3</v>
      </c>
      <c r="K125" s="543">
        <v>3</v>
      </c>
      <c r="L125" s="543" t="s">
        <v>949</v>
      </c>
      <c r="M125" s="543" t="s">
        <v>949</v>
      </c>
    </row>
    <row r="126" spans="6:13">
      <c r="F126" s="88" t="str">
        <f>'G-1 All Habitats'!B125</f>
        <v>Intertidal sediment - Littoral sand</v>
      </c>
      <c r="G126" s="543">
        <v>4</v>
      </c>
      <c r="H126" s="543">
        <v>2</v>
      </c>
      <c r="I126" s="543">
        <v>1</v>
      </c>
      <c r="J126" s="543">
        <v>1</v>
      </c>
      <c r="K126" s="543">
        <v>1</v>
      </c>
      <c r="L126" s="543" t="s">
        <v>949</v>
      </c>
      <c r="M126" s="543" t="s">
        <v>949</v>
      </c>
    </row>
    <row r="127" spans="6:13">
      <c r="F127" s="88" t="str">
        <f>'G-1 All Habitats'!B126</f>
        <v>Intertidal sediment - Littoral muddy sand</v>
      </c>
      <c r="G127" s="543">
        <v>5</v>
      </c>
      <c r="H127" s="543">
        <v>4</v>
      </c>
      <c r="I127" s="543">
        <v>3</v>
      </c>
      <c r="J127" s="543">
        <v>2</v>
      </c>
      <c r="K127" s="543">
        <v>1</v>
      </c>
      <c r="L127" s="543" t="s">
        <v>949</v>
      </c>
      <c r="M127" s="543" t="s">
        <v>949</v>
      </c>
    </row>
    <row r="128" spans="6:13">
      <c r="F128" s="88" t="str">
        <f>'G-1 All Habitats'!B127</f>
        <v>Intertidal Hard Structures - Artificial hard structures</v>
      </c>
      <c r="G128" s="543">
        <v>15</v>
      </c>
      <c r="H128" s="543">
        <v>10</v>
      </c>
      <c r="I128" s="543">
        <v>5</v>
      </c>
      <c r="J128" s="543">
        <v>2</v>
      </c>
      <c r="K128" s="543">
        <v>1</v>
      </c>
      <c r="L128" s="543" t="s">
        <v>949</v>
      </c>
      <c r="M128" s="543" t="s">
        <v>949</v>
      </c>
    </row>
    <row r="129" spans="6:13">
      <c r="F129" s="88" t="str">
        <f>'G-1 All Habitats'!B128</f>
        <v>Intertidal Hard Structures - Artificial features of hard structures</v>
      </c>
      <c r="G129" s="543">
        <v>13</v>
      </c>
      <c r="H129" s="543">
        <v>8</v>
      </c>
      <c r="I129" s="543">
        <v>4</v>
      </c>
      <c r="J129" s="543">
        <v>2</v>
      </c>
      <c r="K129" s="543">
        <v>1</v>
      </c>
      <c r="L129" s="543" t="s">
        <v>949</v>
      </c>
      <c r="M129" s="543" t="s">
        <v>949</v>
      </c>
    </row>
    <row r="130" spans="6:13">
      <c r="F130" s="88" t="str">
        <f>'G-1 All Habitats'!B129</f>
        <v>Intertidal Hard Structures - Artificial hard structures with Integrated Greening of Grey Infrastructure (IGGI)</v>
      </c>
      <c r="G130" s="543">
        <v>13</v>
      </c>
      <c r="H130" s="543">
        <v>8</v>
      </c>
      <c r="I130" s="543">
        <v>4</v>
      </c>
      <c r="J130" s="543">
        <v>2</v>
      </c>
      <c r="K130" s="543">
        <v>1</v>
      </c>
      <c r="L130" s="543" t="s">
        <v>949</v>
      </c>
      <c r="M130" s="543" t="s">
        <v>949</v>
      </c>
    </row>
    <row r="131" spans="6:13"/>
    <row r="132" spans="6:13"/>
    <row r="133" spans="6:13"/>
    <row r="134" spans="6:13"/>
    <row r="135" spans="6:13"/>
    <row r="136" spans="6:13"/>
    <row r="137" spans="6:13"/>
    <row r="138" spans="6:13"/>
    <row r="139" spans="6:13"/>
    <row r="140" spans="6:13"/>
    <row r="141" spans="6:13"/>
    <row r="142" spans="6:13"/>
    <row r="143" spans="6:13"/>
    <row r="144" spans="6:13"/>
    <row r="145"/>
    <row r="146"/>
    <row r="147"/>
    <row r="148"/>
    <row r="149"/>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bottomRight"/>
      <selection pane="bottomLeft" activeCell="S28" sqref="S28"/>
      <selection pane="topRight" activeCell="S28" sqref="S28"/>
    </sheetView>
  </sheetViews>
  <sheetFormatPr defaultColWidth="0" defaultRowHeight="13.9" zeroHeight="1"/>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c r="D1" s="31"/>
      <c r="E1" s="31"/>
      <c r="F1" s="31"/>
      <c r="G1" s="31"/>
      <c r="H1" s="31"/>
      <c r="I1" s="31"/>
      <c r="J1" s="31"/>
      <c r="K1" s="31"/>
      <c r="L1" s="31"/>
      <c r="M1" s="31"/>
      <c r="N1" s="31"/>
      <c r="O1" s="31"/>
      <c r="P1" s="31"/>
      <c r="Q1" s="31"/>
      <c r="R1" s="31"/>
      <c r="S1" s="31"/>
      <c r="T1" s="31"/>
      <c r="U1" s="31"/>
      <c r="V1" s="31"/>
      <c r="W1" s="31"/>
      <c r="X1" s="31"/>
      <c r="Y1" s="31"/>
    </row>
    <row r="2" spans="3:25" ht="41.45">
      <c r="C2" s="279" t="s">
        <v>952</v>
      </c>
      <c r="D2" s="105" t="s">
        <v>953</v>
      </c>
      <c r="E2" s="105" t="s">
        <v>953</v>
      </c>
      <c r="F2" s="105" t="s">
        <v>953</v>
      </c>
      <c r="G2" s="105" t="s">
        <v>953</v>
      </c>
      <c r="H2" s="105" t="s">
        <v>953</v>
      </c>
      <c r="I2" s="105" t="s">
        <v>953</v>
      </c>
      <c r="J2" s="105" t="s">
        <v>953</v>
      </c>
      <c r="K2" s="105" t="s">
        <v>231</v>
      </c>
      <c r="L2" s="105" t="s">
        <v>231</v>
      </c>
      <c r="M2" s="105" t="s">
        <v>231</v>
      </c>
      <c r="N2" s="105" t="s">
        <v>231</v>
      </c>
      <c r="O2" s="105" t="s">
        <v>237</v>
      </c>
      <c r="P2" s="105" t="s">
        <v>237</v>
      </c>
      <c r="Q2" s="105" t="s">
        <v>237</v>
      </c>
      <c r="R2" s="105" t="s">
        <v>237</v>
      </c>
      <c r="S2" s="105" t="s">
        <v>425</v>
      </c>
      <c r="T2" s="105" t="s">
        <v>425</v>
      </c>
      <c r="U2" s="105" t="s">
        <v>425</v>
      </c>
      <c r="V2" s="105" t="s">
        <v>22</v>
      </c>
      <c r="W2" s="105" t="s">
        <v>22</v>
      </c>
      <c r="X2" s="105" t="s">
        <v>226</v>
      </c>
      <c r="Y2" s="105" t="s">
        <v>23</v>
      </c>
    </row>
    <row r="3" spans="3:25" ht="29.45" customHeight="1">
      <c r="C3" s="279" t="s">
        <v>954</v>
      </c>
      <c r="D3" s="105" t="s">
        <v>248</v>
      </c>
      <c r="E3" s="105" t="s">
        <v>231</v>
      </c>
      <c r="F3" s="105" t="s">
        <v>237</v>
      </c>
      <c r="G3" s="105" t="s">
        <v>425</v>
      </c>
      <c r="H3" s="105" t="s">
        <v>22</v>
      </c>
      <c r="I3" s="105" t="s">
        <v>226</v>
      </c>
      <c r="J3" s="105" t="s">
        <v>23</v>
      </c>
      <c r="K3" s="105" t="s">
        <v>425</v>
      </c>
      <c r="L3" s="105" t="s">
        <v>22</v>
      </c>
      <c r="M3" s="105" t="s">
        <v>226</v>
      </c>
      <c r="N3" s="105" t="s">
        <v>23</v>
      </c>
      <c r="O3" s="105" t="s">
        <v>425</v>
      </c>
      <c r="P3" s="105" t="s">
        <v>22</v>
      </c>
      <c r="Q3" s="105" t="s">
        <v>226</v>
      </c>
      <c r="R3" s="105" t="s">
        <v>23</v>
      </c>
      <c r="S3" s="105" t="s">
        <v>22</v>
      </c>
      <c r="T3" s="105" t="s">
        <v>226</v>
      </c>
      <c r="U3" s="105" t="s">
        <v>23</v>
      </c>
      <c r="V3" s="105" t="s">
        <v>226</v>
      </c>
      <c r="W3" s="105" t="s">
        <v>23</v>
      </c>
      <c r="X3" s="105" t="s">
        <v>23</v>
      </c>
      <c r="Y3" s="105" t="s">
        <v>23</v>
      </c>
    </row>
    <row r="4" spans="3:25" ht="72" customHeight="1">
      <c r="C4" s="279" t="s">
        <v>285</v>
      </c>
      <c r="D4" s="103" t="s">
        <v>955</v>
      </c>
      <c r="E4" s="103" t="s">
        <v>956</v>
      </c>
      <c r="F4" s="103" t="s">
        <v>957</v>
      </c>
      <c r="G4" s="103" t="s">
        <v>958</v>
      </c>
      <c r="H4" s="103" t="s">
        <v>959</v>
      </c>
      <c r="I4" s="103" t="s">
        <v>960</v>
      </c>
      <c r="J4" s="103" t="s">
        <v>961</v>
      </c>
      <c r="K4" s="103" t="s">
        <v>962</v>
      </c>
      <c r="L4" s="103" t="s">
        <v>963</v>
      </c>
      <c r="M4" s="103" t="s">
        <v>964</v>
      </c>
      <c r="N4" s="103" t="s">
        <v>965</v>
      </c>
      <c r="O4" s="103" t="s">
        <v>966</v>
      </c>
      <c r="P4" s="103" t="s">
        <v>967</v>
      </c>
      <c r="Q4" s="103" t="s">
        <v>968</v>
      </c>
      <c r="R4" s="103" t="s">
        <v>969</v>
      </c>
      <c r="S4" s="103" t="s">
        <v>970</v>
      </c>
      <c r="T4" s="103" t="s">
        <v>971</v>
      </c>
      <c r="U4" s="103" t="s">
        <v>972</v>
      </c>
      <c r="V4" s="103" t="s">
        <v>973</v>
      </c>
      <c r="W4" s="103" t="s">
        <v>974</v>
      </c>
      <c r="X4" s="103" t="s">
        <v>975</v>
      </c>
      <c r="Y4" s="103" t="s">
        <v>976</v>
      </c>
    </row>
    <row r="5" spans="3:25">
      <c r="C5" s="88" t="str">
        <f>'G-1 All Habitats'!B3</f>
        <v>Cropland - Arable field margins cultivated annually</v>
      </c>
      <c r="D5" s="543" t="s">
        <v>949</v>
      </c>
      <c r="E5" s="543">
        <v>1</v>
      </c>
      <c r="F5" s="543" t="s">
        <v>949</v>
      </c>
      <c r="G5" s="543" t="s">
        <v>949</v>
      </c>
      <c r="H5" s="543" t="s">
        <v>949</v>
      </c>
      <c r="I5" s="543" t="s">
        <v>949</v>
      </c>
      <c r="J5" s="543" t="s">
        <v>949</v>
      </c>
      <c r="K5" s="543" t="s">
        <v>949</v>
      </c>
      <c r="L5" s="543" t="s">
        <v>949</v>
      </c>
      <c r="M5" s="543" t="s">
        <v>949</v>
      </c>
      <c r="N5" s="543" t="s">
        <v>949</v>
      </c>
      <c r="O5" s="543" t="s">
        <v>949</v>
      </c>
      <c r="P5" s="543" t="s">
        <v>949</v>
      </c>
      <c r="Q5" s="543" t="s">
        <v>949</v>
      </c>
      <c r="R5" s="543" t="s">
        <v>949</v>
      </c>
      <c r="S5" s="543" t="s">
        <v>949</v>
      </c>
      <c r="T5" s="543" t="s">
        <v>949</v>
      </c>
      <c r="U5" s="543" t="s">
        <v>949</v>
      </c>
      <c r="V5" s="543" t="s">
        <v>949</v>
      </c>
      <c r="W5" s="543" t="s">
        <v>949</v>
      </c>
      <c r="X5" s="543" t="s">
        <v>949</v>
      </c>
      <c r="Y5" s="543" t="s">
        <v>949</v>
      </c>
    </row>
    <row r="6" spans="3:25">
      <c r="C6" s="88" t="str">
        <f>'G-1 All Habitats'!B4</f>
        <v>Cropland - Arable field margins game bird mix</v>
      </c>
      <c r="D6" s="543" t="s">
        <v>949</v>
      </c>
      <c r="E6" s="543">
        <v>1</v>
      </c>
      <c r="F6" s="543" t="s">
        <v>949</v>
      </c>
      <c r="G6" s="543" t="s">
        <v>949</v>
      </c>
      <c r="H6" s="543" t="s">
        <v>949</v>
      </c>
      <c r="I6" s="543" t="s">
        <v>949</v>
      </c>
      <c r="J6" s="543" t="s">
        <v>949</v>
      </c>
      <c r="K6" s="543" t="s">
        <v>949</v>
      </c>
      <c r="L6" s="543" t="s">
        <v>949</v>
      </c>
      <c r="M6" s="543" t="s">
        <v>949</v>
      </c>
      <c r="N6" s="543" t="s">
        <v>949</v>
      </c>
      <c r="O6" s="543" t="s">
        <v>949</v>
      </c>
      <c r="P6" s="543" t="s">
        <v>949</v>
      </c>
      <c r="Q6" s="543" t="s">
        <v>949</v>
      </c>
      <c r="R6" s="543" t="s">
        <v>949</v>
      </c>
      <c r="S6" s="543" t="s">
        <v>949</v>
      </c>
      <c r="T6" s="543" t="s">
        <v>949</v>
      </c>
      <c r="U6" s="543" t="s">
        <v>949</v>
      </c>
      <c r="V6" s="543" t="s">
        <v>949</v>
      </c>
      <c r="W6" s="543" t="s">
        <v>949</v>
      </c>
      <c r="X6" s="543" t="s">
        <v>949</v>
      </c>
      <c r="Y6" s="543" t="s">
        <v>949</v>
      </c>
    </row>
    <row r="7" spans="3:25">
      <c r="C7" s="88" t="str">
        <f>'G-1 All Habitats'!B5</f>
        <v>Cropland - Arable field margins pollen &amp; nectar</v>
      </c>
      <c r="D7" s="543" t="s">
        <v>949</v>
      </c>
      <c r="E7" s="543">
        <v>1</v>
      </c>
      <c r="F7" s="543" t="s">
        <v>949</v>
      </c>
      <c r="G7" s="543" t="s">
        <v>949</v>
      </c>
      <c r="H7" s="543" t="s">
        <v>949</v>
      </c>
      <c r="I7" s="543" t="s">
        <v>949</v>
      </c>
      <c r="J7" s="543" t="s">
        <v>949</v>
      </c>
      <c r="K7" s="543" t="s">
        <v>949</v>
      </c>
      <c r="L7" s="543" t="s">
        <v>949</v>
      </c>
      <c r="M7" s="543" t="s">
        <v>949</v>
      </c>
      <c r="N7" s="543" t="s">
        <v>949</v>
      </c>
      <c r="O7" s="543" t="s">
        <v>949</v>
      </c>
      <c r="P7" s="543" t="s">
        <v>949</v>
      </c>
      <c r="Q7" s="543" t="s">
        <v>949</v>
      </c>
      <c r="R7" s="543" t="s">
        <v>949</v>
      </c>
      <c r="S7" s="543" t="s">
        <v>949</v>
      </c>
      <c r="T7" s="543" t="s">
        <v>949</v>
      </c>
      <c r="U7" s="543" t="s">
        <v>949</v>
      </c>
      <c r="V7" s="543" t="s">
        <v>949</v>
      </c>
      <c r="W7" s="543" t="s">
        <v>949</v>
      </c>
      <c r="X7" s="543" t="s">
        <v>949</v>
      </c>
      <c r="Y7" s="543" t="s">
        <v>949</v>
      </c>
    </row>
    <row r="8" spans="3:25">
      <c r="C8" s="88" t="str">
        <f>'G-1 All Habitats'!B6</f>
        <v>Cropland - Arable field margins tussocky</v>
      </c>
      <c r="D8" s="543" t="s">
        <v>949</v>
      </c>
      <c r="E8" s="543">
        <v>1</v>
      </c>
      <c r="F8" s="543" t="s">
        <v>949</v>
      </c>
      <c r="G8" s="543" t="s">
        <v>949</v>
      </c>
      <c r="H8" s="543" t="s">
        <v>949</v>
      </c>
      <c r="I8" s="543" t="s">
        <v>949</v>
      </c>
      <c r="J8" s="543" t="s">
        <v>949</v>
      </c>
      <c r="K8" s="543" t="s">
        <v>949</v>
      </c>
      <c r="L8" s="543" t="s">
        <v>949</v>
      </c>
      <c r="M8" s="543" t="s">
        <v>949</v>
      </c>
      <c r="N8" s="543" t="s">
        <v>949</v>
      </c>
      <c r="O8" s="543" t="s">
        <v>949</v>
      </c>
      <c r="P8" s="543" t="s">
        <v>949</v>
      </c>
      <c r="Q8" s="543" t="s">
        <v>949</v>
      </c>
      <c r="R8" s="543" t="s">
        <v>949</v>
      </c>
      <c r="S8" s="543" t="s">
        <v>949</v>
      </c>
      <c r="T8" s="543" t="s">
        <v>949</v>
      </c>
      <c r="U8" s="543" t="s">
        <v>949</v>
      </c>
      <c r="V8" s="543" t="s">
        <v>949</v>
      </c>
      <c r="W8" s="543" t="s">
        <v>949</v>
      </c>
      <c r="X8" s="543" t="s">
        <v>949</v>
      </c>
      <c r="Y8" s="543" t="s">
        <v>949</v>
      </c>
    </row>
    <row r="9" spans="3:25">
      <c r="C9" s="88" t="str">
        <f>'G-1 All Habitats'!B7</f>
        <v>Cropland - Cereal crops</v>
      </c>
      <c r="D9" s="543" t="s">
        <v>949</v>
      </c>
      <c r="E9" s="543" t="s">
        <v>949</v>
      </c>
      <c r="F9" s="543" t="s">
        <v>949</v>
      </c>
      <c r="G9" s="543" t="s">
        <v>949</v>
      </c>
      <c r="H9" s="543" t="s">
        <v>949</v>
      </c>
      <c r="I9" s="543" t="s">
        <v>949</v>
      </c>
      <c r="J9" s="543" t="s">
        <v>949</v>
      </c>
      <c r="K9" s="543" t="s">
        <v>949</v>
      </c>
      <c r="L9" s="543" t="s">
        <v>949</v>
      </c>
      <c r="M9" s="543" t="s">
        <v>949</v>
      </c>
      <c r="N9" s="543" t="s">
        <v>949</v>
      </c>
      <c r="O9" s="543" t="s">
        <v>949</v>
      </c>
      <c r="P9" s="543" t="s">
        <v>949</v>
      </c>
      <c r="Q9" s="543" t="s">
        <v>949</v>
      </c>
      <c r="R9" s="543" t="s">
        <v>949</v>
      </c>
      <c r="S9" s="543" t="s">
        <v>949</v>
      </c>
      <c r="T9" s="543" t="s">
        <v>949</v>
      </c>
      <c r="U9" s="543" t="s">
        <v>949</v>
      </c>
      <c r="V9" s="543" t="s">
        <v>949</v>
      </c>
      <c r="W9" s="543" t="s">
        <v>949</v>
      </c>
      <c r="X9" s="543" t="s">
        <v>949</v>
      </c>
      <c r="Y9" s="543" t="s">
        <v>949</v>
      </c>
    </row>
    <row r="10" spans="3:25">
      <c r="C10" s="88" t="str">
        <f>'G-1 All Habitats'!B8</f>
        <v>Cropland - Cereal crops winter stubble</v>
      </c>
      <c r="D10" s="543" t="s">
        <v>949</v>
      </c>
      <c r="E10" s="543" t="s">
        <v>949</v>
      </c>
      <c r="F10" s="543" t="s">
        <v>949</v>
      </c>
      <c r="G10" s="543" t="s">
        <v>949</v>
      </c>
      <c r="H10" s="543" t="s">
        <v>949</v>
      </c>
      <c r="I10" s="543" t="s">
        <v>949</v>
      </c>
      <c r="J10" s="543" t="s">
        <v>949</v>
      </c>
      <c r="K10" s="543" t="s">
        <v>949</v>
      </c>
      <c r="L10" s="543" t="s">
        <v>949</v>
      </c>
      <c r="M10" s="543" t="s">
        <v>949</v>
      </c>
      <c r="N10" s="543" t="s">
        <v>949</v>
      </c>
      <c r="O10" s="543" t="s">
        <v>949</v>
      </c>
      <c r="P10" s="543" t="s">
        <v>949</v>
      </c>
      <c r="Q10" s="543" t="s">
        <v>949</v>
      </c>
      <c r="R10" s="543" t="s">
        <v>949</v>
      </c>
      <c r="S10" s="543" t="s">
        <v>949</v>
      </c>
      <c r="T10" s="543" t="s">
        <v>949</v>
      </c>
      <c r="U10" s="543" t="s">
        <v>949</v>
      </c>
      <c r="V10" s="543" t="s">
        <v>949</v>
      </c>
      <c r="W10" s="543" t="s">
        <v>949</v>
      </c>
      <c r="X10" s="543" t="s">
        <v>949</v>
      </c>
      <c r="Y10" s="543" t="s">
        <v>949</v>
      </c>
    </row>
    <row r="11" spans="3:25">
      <c r="C11" s="88" t="str">
        <f>'G-1 All Habitats'!B9</f>
        <v>Cropland - Horticulture</v>
      </c>
      <c r="D11" s="543" t="s">
        <v>949</v>
      </c>
      <c r="E11" s="543" t="s">
        <v>949</v>
      </c>
      <c r="F11" s="543" t="s">
        <v>949</v>
      </c>
      <c r="G11" s="543" t="s">
        <v>949</v>
      </c>
      <c r="H11" s="543" t="s">
        <v>949</v>
      </c>
      <c r="I11" s="543" t="s">
        <v>949</v>
      </c>
      <c r="J11" s="543" t="s">
        <v>949</v>
      </c>
      <c r="K11" s="543" t="s">
        <v>949</v>
      </c>
      <c r="L11" s="543" t="s">
        <v>949</v>
      </c>
      <c r="M11" s="543" t="s">
        <v>949</v>
      </c>
      <c r="N11" s="543" t="s">
        <v>949</v>
      </c>
      <c r="O11" s="543" t="s">
        <v>949</v>
      </c>
      <c r="P11" s="543" t="s">
        <v>949</v>
      </c>
      <c r="Q11" s="543" t="s">
        <v>949</v>
      </c>
      <c r="R11" s="543" t="s">
        <v>949</v>
      </c>
      <c r="S11" s="543" t="s">
        <v>949</v>
      </c>
      <c r="T11" s="543" t="s">
        <v>949</v>
      </c>
      <c r="U11" s="543" t="s">
        <v>949</v>
      </c>
      <c r="V11" s="543" t="s">
        <v>949</v>
      </c>
      <c r="W11" s="543" t="s">
        <v>949</v>
      </c>
      <c r="X11" s="543" t="s">
        <v>949</v>
      </c>
      <c r="Y11" s="543" t="s">
        <v>949</v>
      </c>
    </row>
    <row r="12" spans="3:25">
      <c r="C12" s="88" t="str">
        <f>'G-1 All Habitats'!B10</f>
        <v>Cropland - Intensive orchards</v>
      </c>
      <c r="D12" s="543" t="s">
        <v>949</v>
      </c>
      <c r="E12" s="543" t="s">
        <v>949</v>
      </c>
      <c r="F12" s="543" t="s">
        <v>949</v>
      </c>
      <c r="G12" s="543" t="s">
        <v>949</v>
      </c>
      <c r="H12" s="543" t="s">
        <v>949</v>
      </c>
      <c r="I12" s="543" t="s">
        <v>949</v>
      </c>
      <c r="J12" s="543" t="s">
        <v>949</v>
      </c>
      <c r="K12" s="543" t="s">
        <v>949</v>
      </c>
      <c r="L12" s="543" t="s">
        <v>949</v>
      </c>
      <c r="M12" s="543" t="s">
        <v>949</v>
      </c>
      <c r="N12" s="543" t="s">
        <v>949</v>
      </c>
      <c r="O12" s="543" t="s">
        <v>949</v>
      </c>
      <c r="P12" s="543" t="s">
        <v>949</v>
      </c>
      <c r="Q12" s="543" t="s">
        <v>949</v>
      </c>
      <c r="R12" s="543" t="s">
        <v>949</v>
      </c>
      <c r="S12" s="543" t="s">
        <v>949</v>
      </c>
      <c r="T12" s="543" t="s">
        <v>949</v>
      </c>
      <c r="U12" s="543" t="s">
        <v>949</v>
      </c>
      <c r="V12" s="543" t="s">
        <v>949</v>
      </c>
      <c r="W12" s="543" t="s">
        <v>949</v>
      </c>
      <c r="X12" s="543" t="s">
        <v>949</v>
      </c>
      <c r="Y12" s="543" t="s">
        <v>949</v>
      </c>
    </row>
    <row r="13" spans="3:25">
      <c r="C13" s="88" t="str">
        <f>'G-1 All Habitats'!B11</f>
        <v>Cropland - Non-cereal crops</v>
      </c>
      <c r="D13" s="543" t="s">
        <v>949</v>
      </c>
      <c r="E13" s="543" t="s">
        <v>949</v>
      </c>
      <c r="F13" s="543" t="s">
        <v>949</v>
      </c>
      <c r="G13" s="543" t="s">
        <v>949</v>
      </c>
      <c r="H13" s="543" t="s">
        <v>949</v>
      </c>
      <c r="I13" s="543" t="s">
        <v>949</v>
      </c>
      <c r="J13" s="543" t="s">
        <v>949</v>
      </c>
      <c r="K13" s="543" t="s">
        <v>949</v>
      </c>
      <c r="L13" s="543" t="s">
        <v>949</v>
      </c>
      <c r="M13" s="543" t="s">
        <v>949</v>
      </c>
      <c r="N13" s="543" t="s">
        <v>949</v>
      </c>
      <c r="O13" s="543" t="s">
        <v>949</v>
      </c>
      <c r="P13" s="543" t="s">
        <v>949</v>
      </c>
      <c r="Q13" s="543" t="s">
        <v>949</v>
      </c>
      <c r="R13" s="543" t="s">
        <v>949</v>
      </c>
      <c r="S13" s="543" t="s">
        <v>949</v>
      </c>
      <c r="T13" s="543" t="s">
        <v>949</v>
      </c>
      <c r="U13" s="543" t="s">
        <v>949</v>
      </c>
      <c r="V13" s="543" t="s">
        <v>949</v>
      </c>
      <c r="W13" s="543" t="s">
        <v>949</v>
      </c>
      <c r="X13" s="543" t="s">
        <v>949</v>
      </c>
      <c r="Y13" s="543" t="s">
        <v>949</v>
      </c>
    </row>
    <row r="14" spans="3:25">
      <c r="C14" s="88" t="str">
        <f>'G-1 All Habitats'!B12</f>
        <v>Cropland - Temporary grass and clover leys</v>
      </c>
      <c r="D14" s="543" t="s">
        <v>949</v>
      </c>
      <c r="E14" s="543" t="s">
        <v>949</v>
      </c>
      <c r="F14" s="543" t="s">
        <v>949</v>
      </c>
      <c r="G14" s="543" t="s">
        <v>949</v>
      </c>
      <c r="H14" s="543" t="s">
        <v>949</v>
      </c>
      <c r="I14" s="543" t="s">
        <v>949</v>
      </c>
      <c r="J14" s="543" t="s">
        <v>949</v>
      </c>
      <c r="K14" s="543" t="s">
        <v>949</v>
      </c>
      <c r="L14" s="543" t="s">
        <v>949</v>
      </c>
      <c r="M14" s="543" t="s">
        <v>949</v>
      </c>
      <c r="N14" s="543" t="s">
        <v>949</v>
      </c>
      <c r="O14" s="543" t="s">
        <v>949</v>
      </c>
      <c r="P14" s="543" t="s">
        <v>949</v>
      </c>
      <c r="Q14" s="543" t="s">
        <v>949</v>
      </c>
      <c r="R14" s="543" t="s">
        <v>949</v>
      </c>
      <c r="S14" s="543" t="s">
        <v>949</v>
      </c>
      <c r="T14" s="543" t="s">
        <v>949</v>
      </c>
      <c r="U14" s="543" t="s">
        <v>949</v>
      </c>
      <c r="V14" s="543" t="s">
        <v>949</v>
      </c>
      <c r="W14" s="543" t="s">
        <v>949</v>
      </c>
      <c r="X14" s="543" t="s">
        <v>949</v>
      </c>
      <c r="Y14" s="543" t="s">
        <v>949</v>
      </c>
    </row>
    <row r="15" spans="3:25">
      <c r="C15" s="88" t="str">
        <f>'G-1 All Habitats'!B13</f>
        <v>Grassland - Traditional orchards</v>
      </c>
      <c r="D15" s="543" t="s">
        <v>949</v>
      </c>
      <c r="E15" s="543" t="s">
        <v>949</v>
      </c>
      <c r="F15" s="543">
        <v>5</v>
      </c>
      <c r="G15" s="543">
        <v>10</v>
      </c>
      <c r="H15" s="543">
        <v>20</v>
      </c>
      <c r="I15" s="543">
        <v>25</v>
      </c>
      <c r="J15" s="543">
        <v>30</v>
      </c>
      <c r="K15" s="543" t="s">
        <v>949</v>
      </c>
      <c r="L15" s="543" t="s">
        <v>949</v>
      </c>
      <c r="M15" s="543" t="s">
        <v>949</v>
      </c>
      <c r="N15" s="543" t="s">
        <v>949</v>
      </c>
      <c r="O15" s="543">
        <v>5</v>
      </c>
      <c r="P15" s="543">
        <v>15</v>
      </c>
      <c r="Q15" s="543">
        <v>20</v>
      </c>
      <c r="R15" s="543">
        <v>25</v>
      </c>
      <c r="S15" s="543">
        <v>10</v>
      </c>
      <c r="T15" s="543">
        <v>15</v>
      </c>
      <c r="U15" s="543">
        <v>20</v>
      </c>
      <c r="V15" s="543">
        <v>5</v>
      </c>
      <c r="W15" s="543">
        <v>10</v>
      </c>
      <c r="X15" s="543">
        <v>5</v>
      </c>
      <c r="Y15" s="543" t="s">
        <v>949</v>
      </c>
    </row>
    <row r="16" spans="3:25">
      <c r="C16" s="88" t="str">
        <f>'G-1 All Habitats'!B14</f>
        <v>Grassland - Bracken</v>
      </c>
      <c r="D16" s="543" t="s">
        <v>949</v>
      </c>
      <c r="E16" s="543" t="s">
        <v>949</v>
      </c>
      <c r="F16" s="543">
        <v>1</v>
      </c>
      <c r="G16" s="543" t="s">
        <v>949</v>
      </c>
      <c r="H16" s="543" t="s">
        <v>949</v>
      </c>
      <c r="I16" s="543" t="s">
        <v>949</v>
      </c>
      <c r="J16" s="543" t="s">
        <v>949</v>
      </c>
      <c r="K16" s="543" t="s">
        <v>949</v>
      </c>
      <c r="L16" s="543" t="s">
        <v>949</v>
      </c>
      <c r="M16" s="543" t="s">
        <v>949</v>
      </c>
      <c r="N16" s="543" t="s">
        <v>949</v>
      </c>
      <c r="O16" s="543" t="s">
        <v>949</v>
      </c>
      <c r="P16" s="543" t="s">
        <v>949</v>
      </c>
      <c r="Q16" s="543" t="s">
        <v>949</v>
      </c>
      <c r="R16" s="543" t="s">
        <v>949</v>
      </c>
      <c r="S16" s="543" t="s">
        <v>949</v>
      </c>
      <c r="T16" s="543" t="s">
        <v>949</v>
      </c>
      <c r="U16" s="543" t="s">
        <v>949</v>
      </c>
      <c r="V16" s="543" t="s">
        <v>949</v>
      </c>
      <c r="W16" s="543" t="s">
        <v>949</v>
      </c>
      <c r="X16" s="543" t="s">
        <v>949</v>
      </c>
      <c r="Y16" s="543" t="s">
        <v>949</v>
      </c>
    </row>
    <row r="17" spans="3:25">
      <c r="C17" s="88" t="str">
        <f>'G-1 All Habitats'!B15</f>
        <v>Grassland - Floodplain Wetland Mosaic (CFGM)</v>
      </c>
      <c r="D17" s="543" t="s">
        <v>949</v>
      </c>
      <c r="E17" s="543" t="s">
        <v>949</v>
      </c>
      <c r="F17" s="543">
        <v>5</v>
      </c>
      <c r="G17" s="543">
        <v>8</v>
      </c>
      <c r="H17" s="543">
        <v>10</v>
      </c>
      <c r="I17" s="543">
        <v>12</v>
      </c>
      <c r="J17" s="543">
        <v>15</v>
      </c>
      <c r="K17" s="543" t="s">
        <v>949</v>
      </c>
      <c r="L17" s="543" t="s">
        <v>949</v>
      </c>
      <c r="M17" s="543" t="s">
        <v>949</v>
      </c>
      <c r="N17" s="543" t="s">
        <v>949</v>
      </c>
      <c r="O17" s="543">
        <v>8</v>
      </c>
      <c r="P17" s="543">
        <v>10</v>
      </c>
      <c r="Q17" s="543">
        <v>12</v>
      </c>
      <c r="R17" s="543">
        <v>15</v>
      </c>
      <c r="S17" s="543">
        <v>2</v>
      </c>
      <c r="T17" s="543">
        <v>4</v>
      </c>
      <c r="U17" s="543">
        <v>7</v>
      </c>
      <c r="V17" s="543">
        <v>2</v>
      </c>
      <c r="W17" s="543">
        <v>4</v>
      </c>
      <c r="X17" s="543">
        <v>3</v>
      </c>
      <c r="Y17" s="543" t="s">
        <v>949</v>
      </c>
    </row>
    <row r="18" spans="3:25">
      <c r="C18" s="88" t="str">
        <f>'G-1 All Habitats'!B16</f>
        <v>Grassland - Lowland calcareous grassland</v>
      </c>
      <c r="D18" s="543" t="s">
        <v>949</v>
      </c>
      <c r="E18" s="543" t="s">
        <v>949</v>
      </c>
      <c r="F18" s="543">
        <v>10</v>
      </c>
      <c r="G18" s="543">
        <v>15</v>
      </c>
      <c r="H18" s="543">
        <v>20</v>
      </c>
      <c r="I18" s="543">
        <v>25</v>
      </c>
      <c r="J18" s="543">
        <v>30</v>
      </c>
      <c r="K18" s="543" t="s">
        <v>949</v>
      </c>
      <c r="L18" s="543" t="s">
        <v>949</v>
      </c>
      <c r="M18" s="543" t="s">
        <v>949</v>
      </c>
      <c r="N18" s="543" t="s">
        <v>949</v>
      </c>
      <c r="O18" s="543">
        <v>5</v>
      </c>
      <c r="P18" s="543">
        <v>10</v>
      </c>
      <c r="Q18" s="543">
        <v>15</v>
      </c>
      <c r="R18" s="543">
        <v>20</v>
      </c>
      <c r="S18" s="543">
        <v>5</v>
      </c>
      <c r="T18" s="543">
        <v>10</v>
      </c>
      <c r="U18" s="543">
        <v>15</v>
      </c>
      <c r="V18" s="543">
        <v>5</v>
      </c>
      <c r="W18" s="543">
        <v>10</v>
      </c>
      <c r="X18" s="543">
        <v>5</v>
      </c>
      <c r="Y18" s="543" t="s">
        <v>949</v>
      </c>
    </row>
    <row r="19" spans="3:25">
      <c r="C19" s="88" t="str">
        <f>'G-1 All Habitats'!B17</f>
        <v>Grassland - Lowland dry acid grassland</v>
      </c>
      <c r="D19" s="543" t="s">
        <v>949</v>
      </c>
      <c r="E19" s="543" t="s">
        <v>949</v>
      </c>
      <c r="F19" s="543">
        <v>10</v>
      </c>
      <c r="G19" s="543">
        <v>15</v>
      </c>
      <c r="H19" s="543">
        <v>20</v>
      </c>
      <c r="I19" s="543">
        <v>25</v>
      </c>
      <c r="J19" s="543" t="s">
        <v>950</v>
      </c>
      <c r="K19" s="543" t="s">
        <v>949</v>
      </c>
      <c r="L19" s="543" t="s">
        <v>949</v>
      </c>
      <c r="M19" s="543" t="s">
        <v>949</v>
      </c>
      <c r="N19" s="543" t="s">
        <v>949</v>
      </c>
      <c r="O19" s="543">
        <v>5</v>
      </c>
      <c r="P19" s="543">
        <v>15</v>
      </c>
      <c r="Q19" s="543">
        <v>20</v>
      </c>
      <c r="R19" s="543" t="s">
        <v>950</v>
      </c>
      <c r="S19" s="543">
        <v>8</v>
      </c>
      <c r="T19" s="543">
        <v>15</v>
      </c>
      <c r="U19" s="543">
        <v>25</v>
      </c>
      <c r="V19" s="543">
        <v>10</v>
      </c>
      <c r="W19" s="543">
        <v>20</v>
      </c>
      <c r="X19" s="543">
        <v>10</v>
      </c>
      <c r="Y19" s="543" t="s">
        <v>949</v>
      </c>
    </row>
    <row r="20" spans="3:25">
      <c r="C20" s="88" t="str">
        <f>'G-1 All Habitats'!B18</f>
        <v>Grassland - Lowland meadows</v>
      </c>
      <c r="D20" s="543" t="s">
        <v>949</v>
      </c>
      <c r="E20" s="543" t="s">
        <v>949</v>
      </c>
      <c r="F20" s="543">
        <v>5</v>
      </c>
      <c r="G20" s="543">
        <v>8</v>
      </c>
      <c r="H20" s="543">
        <v>10</v>
      </c>
      <c r="I20" s="543">
        <v>12</v>
      </c>
      <c r="J20" s="543">
        <v>15</v>
      </c>
      <c r="K20" s="543" t="s">
        <v>949</v>
      </c>
      <c r="L20" s="543" t="s">
        <v>949</v>
      </c>
      <c r="M20" s="543" t="s">
        <v>949</v>
      </c>
      <c r="N20" s="543" t="s">
        <v>949</v>
      </c>
      <c r="O20" s="543">
        <v>4</v>
      </c>
      <c r="P20" s="543">
        <v>8</v>
      </c>
      <c r="Q20" s="543">
        <v>11</v>
      </c>
      <c r="R20" s="543">
        <v>15</v>
      </c>
      <c r="S20" s="543">
        <v>4</v>
      </c>
      <c r="T20" s="543">
        <v>8</v>
      </c>
      <c r="U20" s="543">
        <v>11</v>
      </c>
      <c r="V20" s="543">
        <v>4</v>
      </c>
      <c r="W20" s="543">
        <v>8</v>
      </c>
      <c r="X20" s="543">
        <v>4</v>
      </c>
      <c r="Y20" s="543" t="s">
        <v>949</v>
      </c>
    </row>
    <row r="21" spans="3:25">
      <c r="C21" s="88" t="str">
        <f>'G-1 All Habitats'!B19</f>
        <v>Grassland - Modified grassland</v>
      </c>
      <c r="D21" s="543" t="s">
        <v>949</v>
      </c>
      <c r="E21" s="543">
        <v>1</v>
      </c>
      <c r="F21" s="543">
        <v>1</v>
      </c>
      <c r="G21" s="543">
        <v>5</v>
      </c>
      <c r="H21" s="543">
        <v>10</v>
      </c>
      <c r="I21" s="543">
        <v>12</v>
      </c>
      <c r="J21" s="543">
        <v>15</v>
      </c>
      <c r="K21" s="543" t="s">
        <v>949</v>
      </c>
      <c r="L21" s="543" t="s">
        <v>949</v>
      </c>
      <c r="M21" s="543" t="s">
        <v>949</v>
      </c>
      <c r="N21" s="543" t="s">
        <v>949</v>
      </c>
      <c r="O21" s="543">
        <v>5</v>
      </c>
      <c r="P21" s="543">
        <v>10</v>
      </c>
      <c r="Q21" s="543">
        <v>12</v>
      </c>
      <c r="R21" s="543">
        <v>15</v>
      </c>
      <c r="S21" s="543">
        <v>8</v>
      </c>
      <c r="T21" s="543">
        <v>10</v>
      </c>
      <c r="U21" s="543">
        <v>12</v>
      </c>
      <c r="V21" s="543">
        <v>8</v>
      </c>
      <c r="W21" s="543">
        <v>10</v>
      </c>
      <c r="X21" s="543">
        <v>8</v>
      </c>
      <c r="Y21" s="543" t="s">
        <v>949</v>
      </c>
    </row>
    <row r="22" spans="3:25">
      <c r="C22" s="88" t="str">
        <f>'G-1 All Habitats'!B20</f>
        <v>Grassland - Other lowland acid grassland</v>
      </c>
      <c r="D22" s="543" t="s">
        <v>949</v>
      </c>
      <c r="E22" s="543" t="s">
        <v>949</v>
      </c>
      <c r="F22" s="543">
        <v>1</v>
      </c>
      <c r="G22" s="543">
        <v>5</v>
      </c>
      <c r="H22" s="543">
        <v>10</v>
      </c>
      <c r="I22" s="543">
        <v>12</v>
      </c>
      <c r="J22" s="543">
        <v>15</v>
      </c>
      <c r="K22" s="543" t="s">
        <v>949</v>
      </c>
      <c r="L22" s="543" t="s">
        <v>949</v>
      </c>
      <c r="M22" s="543" t="s">
        <v>949</v>
      </c>
      <c r="N22" s="543" t="s">
        <v>949</v>
      </c>
      <c r="O22" s="543">
        <v>5</v>
      </c>
      <c r="P22" s="543">
        <v>10</v>
      </c>
      <c r="Q22" s="543">
        <v>12</v>
      </c>
      <c r="R22" s="543">
        <v>15</v>
      </c>
      <c r="S22" s="543">
        <v>8</v>
      </c>
      <c r="T22" s="543">
        <v>10</v>
      </c>
      <c r="U22" s="543">
        <v>12</v>
      </c>
      <c r="V22" s="543">
        <v>8</v>
      </c>
      <c r="W22" s="543">
        <v>10</v>
      </c>
      <c r="X22" s="543">
        <v>8</v>
      </c>
      <c r="Y22" s="543" t="s">
        <v>949</v>
      </c>
    </row>
    <row r="23" spans="3:25">
      <c r="C23" s="88" t="str">
        <f>'G-1 All Habitats'!B21</f>
        <v>Grassland - Other neutral grassland</v>
      </c>
      <c r="D23" s="543" t="s">
        <v>949</v>
      </c>
      <c r="E23" s="543" t="s">
        <v>949</v>
      </c>
      <c r="F23" s="543">
        <v>1</v>
      </c>
      <c r="G23" s="543">
        <v>5</v>
      </c>
      <c r="H23" s="543">
        <v>10</v>
      </c>
      <c r="I23" s="543">
        <v>12</v>
      </c>
      <c r="J23" s="543">
        <v>15</v>
      </c>
      <c r="K23" s="543" t="s">
        <v>949</v>
      </c>
      <c r="L23" s="543" t="s">
        <v>949</v>
      </c>
      <c r="M23" s="543" t="s">
        <v>949</v>
      </c>
      <c r="N23" s="543" t="s">
        <v>949</v>
      </c>
      <c r="O23" s="543">
        <v>5</v>
      </c>
      <c r="P23" s="543">
        <v>10</v>
      </c>
      <c r="Q23" s="543">
        <v>12</v>
      </c>
      <c r="R23" s="543">
        <v>15</v>
      </c>
      <c r="S23" s="543">
        <v>8</v>
      </c>
      <c r="T23" s="543">
        <v>10</v>
      </c>
      <c r="U23" s="543">
        <v>12</v>
      </c>
      <c r="V23" s="543">
        <v>8</v>
      </c>
      <c r="W23" s="543">
        <v>10</v>
      </c>
      <c r="X23" s="543">
        <v>8</v>
      </c>
      <c r="Y23" s="543" t="s">
        <v>949</v>
      </c>
    </row>
    <row r="24" spans="3:25">
      <c r="C24" s="88" t="str">
        <f>'G-1 All Habitats'!B22</f>
        <v>Grassland - Tall herb communities (H6430)</v>
      </c>
      <c r="D24" s="543" t="s">
        <v>949</v>
      </c>
      <c r="E24" s="543" t="s">
        <v>949</v>
      </c>
      <c r="F24" s="543">
        <v>10</v>
      </c>
      <c r="G24" s="543">
        <v>15</v>
      </c>
      <c r="H24" s="543">
        <v>20</v>
      </c>
      <c r="I24" s="543">
        <v>25</v>
      </c>
      <c r="J24" s="543">
        <v>30</v>
      </c>
      <c r="K24" s="543" t="s">
        <v>949</v>
      </c>
      <c r="L24" s="543" t="s">
        <v>949</v>
      </c>
      <c r="M24" s="543" t="s">
        <v>949</v>
      </c>
      <c r="N24" s="543" t="s">
        <v>949</v>
      </c>
      <c r="O24" s="543">
        <v>10</v>
      </c>
      <c r="P24" s="543">
        <v>20</v>
      </c>
      <c r="Q24" s="543">
        <v>25</v>
      </c>
      <c r="R24" s="543">
        <v>30</v>
      </c>
      <c r="S24" s="543">
        <v>10</v>
      </c>
      <c r="T24" s="543">
        <v>10</v>
      </c>
      <c r="U24" s="543">
        <v>15</v>
      </c>
      <c r="V24" s="543">
        <v>5</v>
      </c>
      <c r="W24" s="543">
        <v>10</v>
      </c>
      <c r="X24" s="543">
        <v>5</v>
      </c>
      <c r="Y24" s="543" t="s">
        <v>949</v>
      </c>
    </row>
    <row r="25" spans="3:25">
      <c r="C25" s="88" t="str">
        <f>'G-1 All Habitats'!B23</f>
        <v>Grassland - Upland acid grassland</v>
      </c>
      <c r="D25" s="543" t="s">
        <v>949</v>
      </c>
      <c r="E25" s="543" t="s">
        <v>949</v>
      </c>
      <c r="F25" s="543">
        <v>1</v>
      </c>
      <c r="G25" s="543">
        <v>5</v>
      </c>
      <c r="H25" s="543">
        <v>10</v>
      </c>
      <c r="I25" s="543">
        <v>12</v>
      </c>
      <c r="J25" s="543">
        <v>15</v>
      </c>
      <c r="K25" s="543" t="s">
        <v>949</v>
      </c>
      <c r="L25" s="543" t="s">
        <v>949</v>
      </c>
      <c r="M25" s="543" t="s">
        <v>949</v>
      </c>
      <c r="N25" s="543" t="s">
        <v>949</v>
      </c>
      <c r="O25" s="543">
        <v>5</v>
      </c>
      <c r="P25" s="543">
        <v>10</v>
      </c>
      <c r="Q25" s="543">
        <v>12</v>
      </c>
      <c r="R25" s="543">
        <v>15</v>
      </c>
      <c r="S25" s="543">
        <v>8</v>
      </c>
      <c r="T25" s="543">
        <v>10</v>
      </c>
      <c r="U25" s="543">
        <v>12</v>
      </c>
      <c r="V25" s="543">
        <v>8</v>
      </c>
      <c r="W25" s="543">
        <v>10</v>
      </c>
      <c r="X25" s="543">
        <v>8</v>
      </c>
      <c r="Y25" s="543" t="s">
        <v>949</v>
      </c>
    </row>
    <row r="26" spans="3:25">
      <c r="C26" s="88" t="str">
        <f>'G-1 All Habitats'!B24</f>
        <v>Grassland - Upland calcareous grassland</v>
      </c>
      <c r="D26" s="543" t="s">
        <v>949</v>
      </c>
      <c r="E26" s="543" t="s">
        <v>949</v>
      </c>
      <c r="F26" s="543">
        <v>10</v>
      </c>
      <c r="G26" s="543">
        <v>12</v>
      </c>
      <c r="H26" s="543">
        <v>15</v>
      </c>
      <c r="I26" s="543">
        <v>20</v>
      </c>
      <c r="J26" s="543">
        <v>25</v>
      </c>
      <c r="K26" s="543" t="s">
        <v>949</v>
      </c>
      <c r="L26" s="543" t="s">
        <v>949</v>
      </c>
      <c r="M26" s="543" t="s">
        <v>949</v>
      </c>
      <c r="N26" s="543" t="s">
        <v>949</v>
      </c>
      <c r="O26" s="543">
        <v>10</v>
      </c>
      <c r="P26" s="543">
        <v>15</v>
      </c>
      <c r="Q26" s="543">
        <v>18</v>
      </c>
      <c r="R26" s="543">
        <v>20</v>
      </c>
      <c r="S26" s="543">
        <v>10</v>
      </c>
      <c r="T26" s="543">
        <v>15</v>
      </c>
      <c r="U26" s="543">
        <v>18</v>
      </c>
      <c r="V26" s="543">
        <v>10</v>
      </c>
      <c r="W26" s="543">
        <v>10</v>
      </c>
      <c r="X26" s="543">
        <v>10</v>
      </c>
      <c r="Y26" s="543" t="s">
        <v>949</v>
      </c>
    </row>
    <row r="27" spans="3:25">
      <c r="C27" s="88" t="str">
        <f>'G-1 All Habitats'!B25</f>
        <v>Grassland - Upland hay meadows</v>
      </c>
      <c r="D27" s="543" t="s">
        <v>949</v>
      </c>
      <c r="E27" s="543" t="s">
        <v>949</v>
      </c>
      <c r="F27" s="543">
        <v>10</v>
      </c>
      <c r="G27" s="543">
        <v>12</v>
      </c>
      <c r="H27" s="543">
        <v>15</v>
      </c>
      <c r="I27" s="543">
        <v>18</v>
      </c>
      <c r="J27" s="543">
        <v>20</v>
      </c>
      <c r="K27" s="543" t="s">
        <v>949</v>
      </c>
      <c r="L27" s="543" t="s">
        <v>949</v>
      </c>
      <c r="M27" s="543" t="s">
        <v>949</v>
      </c>
      <c r="N27" s="543" t="s">
        <v>949</v>
      </c>
      <c r="O27" s="543">
        <v>10</v>
      </c>
      <c r="P27" s="543">
        <v>15</v>
      </c>
      <c r="Q27" s="543">
        <v>18</v>
      </c>
      <c r="R27" s="543">
        <v>20</v>
      </c>
      <c r="S27" s="543">
        <v>10</v>
      </c>
      <c r="T27" s="543">
        <v>15</v>
      </c>
      <c r="U27" s="543">
        <v>18</v>
      </c>
      <c r="V27" s="543">
        <v>10</v>
      </c>
      <c r="W27" s="543">
        <v>15</v>
      </c>
      <c r="X27" s="543">
        <v>10</v>
      </c>
      <c r="Y27" s="543" t="s">
        <v>949</v>
      </c>
    </row>
    <row r="28" spans="3:25">
      <c r="C28" s="88" t="str">
        <f>'G-1 All Habitats'!B26</f>
        <v>Heathland and shrub - Blackthorn scrub</v>
      </c>
      <c r="D28" s="543" t="s">
        <v>949</v>
      </c>
      <c r="E28" s="543" t="s">
        <v>949</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949</v>
      </c>
    </row>
    <row r="29" spans="3:25">
      <c r="C29" s="88" t="str">
        <f>'G-1 All Habitats'!B27</f>
        <v>Heathland and shrub - Bramble scrub</v>
      </c>
      <c r="D29" s="543" t="s">
        <v>949</v>
      </c>
      <c r="E29" s="543" t="s">
        <v>949</v>
      </c>
      <c r="F29" s="543">
        <v>1</v>
      </c>
      <c r="G29" s="543" t="s">
        <v>949</v>
      </c>
      <c r="H29" s="543" t="s">
        <v>949</v>
      </c>
      <c r="I29" s="543" t="s">
        <v>949</v>
      </c>
      <c r="J29" s="543" t="s">
        <v>949</v>
      </c>
      <c r="K29" s="543" t="s">
        <v>949</v>
      </c>
      <c r="L29" s="543" t="s">
        <v>949</v>
      </c>
      <c r="M29" s="543" t="s">
        <v>949</v>
      </c>
      <c r="N29" s="543" t="s">
        <v>949</v>
      </c>
      <c r="O29" s="543" t="s">
        <v>949</v>
      </c>
      <c r="P29" s="543" t="s">
        <v>949</v>
      </c>
      <c r="Q29" s="543" t="s">
        <v>949</v>
      </c>
      <c r="R29" s="543" t="s">
        <v>949</v>
      </c>
      <c r="S29" s="543" t="s">
        <v>949</v>
      </c>
      <c r="T29" s="543" t="s">
        <v>949</v>
      </c>
      <c r="U29" s="543" t="s">
        <v>949</v>
      </c>
      <c r="V29" s="543" t="s">
        <v>949</v>
      </c>
      <c r="W29" s="543" t="s">
        <v>949</v>
      </c>
      <c r="X29" s="543" t="s">
        <v>949</v>
      </c>
      <c r="Y29" s="543" t="s">
        <v>949</v>
      </c>
    </row>
    <row r="30" spans="3:25">
      <c r="C30" s="88" t="str">
        <f>'G-1 All Habitats'!B28</f>
        <v>Heathland and shrub - Gorse scrub</v>
      </c>
      <c r="D30" s="543" t="s">
        <v>949</v>
      </c>
      <c r="E30" s="543" t="s">
        <v>949</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949</v>
      </c>
    </row>
    <row r="31" spans="3:25">
      <c r="C31" s="88" t="str">
        <f>'G-1 All Habitats'!B29</f>
        <v>Heathland and shrub - Hawthorn scrub</v>
      </c>
      <c r="D31" s="543" t="s">
        <v>949</v>
      </c>
      <c r="E31" s="543" t="s">
        <v>949</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949</v>
      </c>
    </row>
    <row r="32" spans="3:25">
      <c r="C32" s="88" t="str">
        <f>'G-1 All Habitats'!B30</f>
        <v>Heathland and shrub - Hazel scrub</v>
      </c>
      <c r="D32" s="543" t="s">
        <v>949</v>
      </c>
      <c r="E32" s="543" t="s">
        <v>949</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949</v>
      </c>
    </row>
    <row r="33" spans="3:25">
      <c r="C33" s="88" t="str">
        <f>'G-1 All Habitats'!B31</f>
        <v>Heathland and shrub - Lowland Heathland</v>
      </c>
      <c r="D33" s="543" t="s">
        <v>949</v>
      </c>
      <c r="E33" s="543" t="s">
        <v>949</v>
      </c>
      <c r="F33" s="543">
        <v>10</v>
      </c>
      <c r="G33" s="543">
        <v>15</v>
      </c>
      <c r="H33" s="543">
        <v>20</v>
      </c>
      <c r="I33" s="543">
        <v>25</v>
      </c>
      <c r="J33" s="543" t="s">
        <v>950</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949</v>
      </c>
    </row>
    <row r="34" spans="3:25">
      <c r="C34" s="88" t="str">
        <f>'G-1 All Habitats'!B32</f>
        <v>Heathland and shrub - Mixed scrub</v>
      </c>
      <c r="D34" s="543" t="s">
        <v>949</v>
      </c>
      <c r="E34" s="543" t="s">
        <v>949</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949</v>
      </c>
    </row>
    <row r="35" spans="3:25">
      <c r="C35" s="88" t="str">
        <f>'G-1 All Habitats'!B33</f>
        <v>Heathland and shrub - Mountain heaths and willow scrub</v>
      </c>
      <c r="D35" s="543" t="s">
        <v>949</v>
      </c>
      <c r="E35" s="543" t="s">
        <v>949</v>
      </c>
      <c r="F35" s="543">
        <v>15</v>
      </c>
      <c r="G35" s="543">
        <v>23</v>
      </c>
      <c r="H35" s="543">
        <v>25</v>
      </c>
      <c r="I35" s="543" t="s">
        <v>950</v>
      </c>
      <c r="J35" s="543" t="s">
        <v>950</v>
      </c>
      <c r="K35" s="543">
        <v>20</v>
      </c>
      <c r="L35" s="543" t="s">
        <v>950</v>
      </c>
      <c r="M35" s="543" t="s">
        <v>950</v>
      </c>
      <c r="N35" s="543" t="s">
        <v>950</v>
      </c>
      <c r="O35" s="543">
        <v>20</v>
      </c>
      <c r="P35" s="543" t="s">
        <v>950</v>
      </c>
      <c r="Q35" s="543" t="s">
        <v>950</v>
      </c>
      <c r="R35" s="543" t="s">
        <v>950</v>
      </c>
      <c r="S35" s="543">
        <v>20</v>
      </c>
      <c r="T35" s="543" t="s">
        <v>950</v>
      </c>
      <c r="U35" s="543" t="s">
        <v>950</v>
      </c>
      <c r="V35" s="543">
        <v>20</v>
      </c>
      <c r="W35" s="543" t="s">
        <v>950</v>
      </c>
      <c r="X35" s="543">
        <v>20</v>
      </c>
      <c r="Y35" s="543" t="s">
        <v>949</v>
      </c>
    </row>
    <row r="36" spans="3:25">
      <c r="C36" s="88" t="str">
        <f>'G-1 All Habitats'!B34</f>
        <v>Heathland and shrub - Rhododendron scrub</v>
      </c>
      <c r="D36" s="543" t="s">
        <v>949</v>
      </c>
      <c r="E36" s="543" t="s">
        <v>949</v>
      </c>
      <c r="F36" s="543">
        <v>1</v>
      </c>
      <c r="G36" s="543" t="s">
        <v>949</v>
      </c>
      <c r="H36" s="543" t="s">
        <v>949</v>
      </c>
      <c r="I36" s="543" t="s">
        <v>949</v>
      </c>
      <c r="J36" s="543" t="s">
        <v>949</v>
      </c>
      <c r="K36" s="543" t="s">
        <v>949</v>
      </c>
      <c r="L36" s="543" t="s">
        <v>949</v>
      </c>
      <c r="M36" s="543" t="s">
        <v>949</v>
      </c>
      <c r="N36" s="543" t="s">
        <v>949</v>
      </c>
      <c r="O36" s="543" t="s">
        <v>949</v>
      </c>
      <c r="P36" s="543" t="s">
        <v>949</v>
      </c>
      <c r="Q36" s="543" t="s">
        <v>949</v>
      </c>
      <c r="R36" s="543" t="s">
        <v>949</v>
      </c>
      <c r="S36" s="543" t="s">
        <v>949</v>
      </c>
      <c r="T36" s="543" t="s">
        <v>949</v>
      </c>
      <c r="U36" s="543" t="s">
        <v>949</v>
      </c>
      <c r="V36" s="543" t="s">
        <v>949</v>
      </c>
      <c r="W36" s="543" t="s">
        <v>949</v>
      </c>
      <c r="X36" s="543" t="s">
        <v>949</v>
      </c>
      <c r="Y36" s="543" t="s">
        <v>949</v>
      </c>
    </row>
    <row r="37" spans="3:25">
      <c r="C37" s="88" t="str">
        <f>'G-1 All Habitats'!B35</f>
        <v>Heathland and shrub - Sea buckthorn scrub (Annex 1)</v>
      </c>
      <c r="D37" s="543" t="s">
        <v>949</v>
      </c>
      <c r="E37" s="543" t="s">
        <v>949</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949</v>
      </c>
    </row>
    <row r="38" spans="3:25">
      <c r="C38" s="88" t="str">
        <f>'G-1 All Habitats'!B36</f>
        <v>Heathland and shrub - Sea buckthorn scrub (other)</v>
      </c>
      <c r="D38" s="543" t="s">
        <v>949</v>
      </c>
      <c r="E38" s="543" t="s">
        <v>949</v>
      </c>
      <c r="F38" s="543" t="s">
        <v>949</v>
      </c>
      <c r="G38" s="543" t="s">
        <v>949</v>
      </c>
      <c r="H38" s="543" t="s">
        <v>949</v>
      </c>
      <c r="I38" s="543" t="s">
        <v>949</v>
      </c>
      <c r="J38" s="543" t="s">
        <v>949</v>
      </c>
      <c r="K38" s="543" t="s">
        <v>949</v>
      </c>
      <c r="L38" s="543" t="s">
        <v>949</v>
      </c>
      <c r="M38" s="543" t="s">
        <v>949</v>
      </c>
      <c r="N38" s="543" t="s">
        <v>949</v>
      </c>
      <c r="O38" s="543" t="s">
        <v>949</v>
      </c>
      <c r="P38" s="543" t="s">
        <v>949</v>
      </c>
      <c r="Q38" s="543" t="s">
        <v>949</v>
      </c>
      <c r="R38" s="543" t="s">
        <v>949</v>
      </c>
      <c r="S38" s="543" t="s">
        <v>949</v>
      </c>
      <c r="T38" s="543" t="s">
        <v>949</v>
      </c>
      <c r="U38" s="543" t="s">
        <v>949</v>
      </c>
      <c r="V38" s="543" t="s">
        <v>949</v>
      </c>
      <c r="W38" s="543" t="s">
        <v>949</v>
      </c>
      <c r="X38" s="543" t="s">
        <v>949</v>
      </c>
      <c r="Y38" s="543" t="s">
        <v>949</v>
      </c>
    </row>
    <row r="39" spans="3:25">
      <c r="C39" s="88" t="str">
        <f>'G-1 All Habitats'!B37</f>
        <v>Heathland and shrub - Upland Heathland</v>
      </c>
      <c r="D39" s="543" t="s">
        <v>949</v>
      </c>
      <c r="E39" s="543" t="s">
        <v>949</v>
      </c>
      <c r="F39" s="543">
        <v>10</v>
      </c>
      <c r="G39" s="543">
        <v>15</v>
      </c>
      <c r="H39" s="543">
        <v>20</v>
      </c>
      <c r="I39" s="543">
        <v>25</v>
      </c>
      <c r="J39" s="543">
        <v>30</v>
      </c>
      <c r="K39" s="543" t="s">
        <v>949</v>
      </c>
      <c r="L39" s="543" t="s">
        <v>949</v>
      </c>
      <c r="M39" s="543" t="s">
        <v>949</v>
      </c>
      <c r="N39" s="543" t="s">
        <v>949</v>
      </c>
      <c r="O39" s="543">
        <v>10</v>
      </c>
      <c r="P39" s="543">
        <v>20</v>
      </c>
      <c r="Q39" s="543">
        <v>30</v>
      </c>
      <c r="R39" s="543" t="s">
        <v>950</v>
      </c>
      <c r="S39" s="543">
        <v>10</v>
      </c>
      <c r="T39" s="543">
        <v>20</v>
      </c>
      <c r="U39" s="543">
        <v>30</v>
      </c>
      <c r="V39" s="543">
        <v>10</v>
      </c>
      <c r="W39" s="543">
        <v>20</v>
      </c>
      <c r="X39" s="543">
        <v>10</v>
      </c>
      <c r="Y39" s="543" t="s">
        <v>949</v>
      </c>
    </row>
    <row r="40" spans="3:25">
      <c r="C40" s="88" t="str">
        <f>'G-1 All Habitats'!B38</f>
        <v>Lakes - Aquifer fed naturally fluctuating water bodies</v>
      </c>
      <c r="D40" s="543" t="s">
        <v>949</v>
      </c>
      <c r="E40" s="543" t="s">
        <v>949</v>
      </c>
      <c r="F40" s="543">
        <v>1</v>
      </c>
      <c r="G40" s="543">
        <v>10</v>
      </c>
      <c r="H40" s="543">
        <v>15</v>
      </c>
      <c r="I40" s="543">
        <v>20</v>
      </c>
      <c r="J40" s="543">
        <v>30</v>
      </c>
      <c r="K40" s="543" t="s">
        <v>949</v>
      </c>
      <c r="L40" s="543" t="s">
        <v>949</v>
      </c>
      <c r="M40" s="543" t="s">
        <v>949</v>
      </c>
      <c r="N40" s="543" t="s">
        <v>949</v>
      </c>
      <c r="O40" s="543">
        <v>5</v>
      </c>
      <c r="P40" s="543">
        <v>10</v>
      </c>
      <c r="Q40" s="543">
        <v>15</v>
      </c>
      <c r="R40" s="543">
        <v>30</v>
      </c>
      <c r="S40" s="543">
        <v>5</v>
      </c>
      <c r="T40" s="543">
        <v>15</v>
      </c>
      <c r="U40" s="543">
        <v>25</v>
      </c>
      <c r="V40" s="543">
        <v>5</v>
      </c>
      <c r="W40" s="543">
        <v>20</v>
      </c>
      <c r="X40" s="543">
        <v>5</v>
      </c>
      <c r="Y40" s="543" t="s">
        <v>949</v>
      </c>
    </row>
    <row r="41" spans="3:25">
      <c r="C41" s="88" t="str">
        <f>'G-1 All Habitats'!B40</f>
        <v>Lakes - High alkalinity lakes</v>
      </c>
      <c r="D41" s="543" t="s">
        <v>949</v>
      </c>
      <c r="E41" s="543" t="s">
        <v>949</v>
      </c>
      <c r="F41" s="543">
        <v>2</v>
      </c>
      <c r="G41" s="543">
        <v>3</v>
      </c>
      <c r="H41" s="543">
        <v>5</v>
      </c>
      <c r="I41" s="543">
        <v>7</v>
      </c>
      <c r="J41" s="543">
        <v>10</v>
      </c>
      <c r="K41" s="543" t="s">
        <v>949</v>
      </c>
      <c r="L41" s="543" t="s">
        <v>949</v>
      </c>
      <c r="M41" s="543" t="s">
        <v>949</v>
      </c>
      <c r="N41" s="543" t="s">
        <v>949</v>
      </c>
      <c r="O41" s="543">
        <v>5</v>
      </c>
      <c r="P41" s="543">
        <v>10</v>
      </c>
      <c r="Q41" s="543">
        <v>15</v>
      </c>
      <c r="R41" s="543">
        <v>30</v>
      </c>
      <c r="S41" s="543">
        <v>5</v>
      </c>
      <c r="T41" s="543">
        <v>15</v>
      </c>
      <c r="U41" s="543">
        <v>25</v>
      </c>
      <c r="V41" s="543">
        <v>10</v>
      </c>
      <c r="W41" s="543">
        <v>20</v>
      </c>
      <c r="X41" s="543">
        <v>10</v>
      </c>
      <c r="Y41" s="543" t="s">
        <v>949</v>
      </c>
    </row>
    <row r="42" spans="3:25">
      <c r="C42" s="88" t="str">
        <f>'G-1 All Habitats'!B41</f>
        <v>Lakes - Low alkalinity lakes</v>
      </c>
      <c r="D42" s="543" t="s">
        <v>949</v>
      </c>
      <c r="E42" s="543" t="s">
        <v>949</v>
      </c>
      <c r="F42" s="543">
        <v>5</v>
      </c>
      <c r="G42" s="543">
        <v>10</v>
      </c>
      <c r="H42" s="543">
        <v>15</v>
      </c>
      <c r="I42" s="543">
        <v>20</v>
      </c>
      <c r="J42" s="543">
        <v>30</v>
      </c>
      <c r="K42" s="543" t="s">
        <v>949</v>
      </c>
      <c r="L42" s="543" t="s">
        <v>949</v>
      </c>
      <c r="M42" s="543" t="s">
        <v>949</v>
      </c>
      <c r="N42" s="543" t="s">
        <v>949</v>
      </c>
      <c r="O42" s="543">
        <v>5</v>
      </c>
      <c r="P42" s="543">
        <v>10</v>
      </c>
      <c r="Q42" s="543">
        <v>15</v>
      </c>
      <c r="R42" s="543">
        <v>20</v>
      </c>
      <c r="S42" s="543">
        <v>5</v>
      </c>
      <c r="T42" s="543">
        <v>10</v>
      </c>
      <c r="U42" s="543">
        <v>15</v>
      </c>
      <c r="V42" s="543">
        <v>5</v>
      </c>
      <c r="W42" s="543">
        <v>10</v>
      </c>
      <c r="X42" s="543">
        <v>5</v>
      </c>
      <c r="Y42" s="543" t="s">
        <v>949</v>
      </c>
    </row>
    <row r="43" spans="3:25">
      <c r="C43" s="88" t="str">
        <f>'G-1 All Habitats'!B42</f>
        <v>Lakes - Marl Lakes</v>
      </c>
      <c r="D43" s="543" t="s">
        <v>949</v>
      </c>
      <c r="E43" s="543" t="s">
        <v>949</v>
      </c>
      <c r="F43" s="543">
        <v>5</v>
      </c>
      <c r="G43" s="543">
        <v>7</v>
      </c>
      <c r="H43" s="543">
        <v>10</v>
      </c>
      <c r="I43" s="543">
        <v>15</v>
      </c>
      <c r="J43" s="543">
        <v>20</v>
      </c>
      <c r="K43" s="543" t="s">
        <v>949</v>
      </c>
      <c r="L43" s="543" t="s">
        <v>949</v>
      </c>
      <c r="M43" s="543" t="s">
        <v>949</v>
      </c>
      <c r="N43" s="543" t="s">
        <v>949</v>
      </c>
      <c r="O43" s="543">
        <v>5</v>
      </c>
      <c r="P43" s="543">
        <v>10</v>
      </c>
      <c r="Q43" s="543">
        <v>15</v>
      </c>
      <c r="R43" s="543">
        <v>30</v>
      </c>
      <c r="S43" s="543">
        <v>5</v>
      </c>
      <c r="T43" s="543">
        <v>15</v>
      </c>
      <c r="U43" s="543">
        <v>25</v>
      </c>
      <c r="V43" s="543">
        <v>10</v>
      </c>
      <c r="W43" s="543">
        <v>20</v>
      </c>
      <c r="X43" s="543">
        <v>10</v>
      </c>
      <c r="Y43" s="543" t="s">
        <v>949</v>
      </c>
    </row>
    <row r="44" spans="3:25">
      <c r="C44" s="88" t="str">
        <f>'G-1 All Habitats'!B43</f>
        <v>Lakes - Moderate alkalinity lakes</v>
      </c>
      <c r="D44" s="543" t="s">
        <v>949</v>
      </c>
      <c r="E44" s="543" t="s">
        <v>949</v>
      </c>
      <c r="F44" s="543">
        <v>5</v>
      </c>
      <c r="G44" s="543">
        <v>7</v>
      </c>
      <c r="H44" s="543">
        <v>10</v>
      </c>
      <c r="I44" s="543">
        <v>15</v>
      </c>
      <c r="J44" s="543">
        <v>20</v>
      </c>
      <c r="K44" s="543" t="s">
        <v>949</v>
      </c>
      <c r="L44" s="543" t="s">
        <v>949</v>
      </c>
      <c r="M44" s="543" t="s">
        <v>949</v>
      </c>
      <c r="N44" s="543" t="s">
        <v>949</v>
      </c>
      <c r="O44" s="543">
        <v>5</v>
      </c>
      <c r="P44" s="543">
        <v>10</v>
      </c>
      <c r="Q44" s="543">
        <v>15</v>
      </c>
      <c r="R44" s="543">
        <v>30</v>
      </c>
      <c r="S44" s="543">
        <v>5</v>
      </c>
      <c r="T44" s="543">
        <v>15</v>
      </c>
      <c r="U44" s="543">
        <v>25</v>
      </c>
      <c r="V44" s="543">
        <v>10</v>
      </c>
      <c r="W44" s="543">
        <v>20</v>
      </c>
      <c r="X44" s="543">
        <v>10</v>
      </c>
      <c r="Y44" s="543" t="s">
        <v>949</v>
      </c>
    </row>
    <row r="45" spans="3:25">
      <c r="C45" s="88" t="str">
        <f>'G-1 All Habitats'!B44</f>
        <v>Lakes - Peat Lakes</v>
      </c>
      <c r="D45" s="543" t="s">
        <v>949</v>
      </c>
      <c r="E45" s="543" t="s">
        <v>949</v>
      </c>
      <c r="F45" s="543">
        <v>5</v>
      </c>
      <c r="G45" s="543">
        <v>10</v>
      </c>
      <c r="H45" s="543">
        <v>15</v>
      </c>
      <c r="I45" s="543">
        <v>20</v>
      </c>
      <c r="J45" s="543">
        <v>30</v>
      </c>
      <c r="K45" s="543" t="s">
        <v>949</v>
      </c>
      <c r="L45" s="543" t="s">
        <v>949</v>
      </c>
      <c r="M45" s="543" t="s">
        <v>949</v>
      </c>
      <c r="N45" s="543" t="s">
        <v>949</v>
      </c>
      <c r="O45" s="543">
        <v>5</v>
      </c>
      <c r="P45" s="543">
        <v>10</v>
      </c>
      <c r="Q45" s="543">
        <v>15</v>
      </c>
      <c r="R45" s="543">
        <v>30</v>
      </c>
      <c r="S45" s="543">
        <v>5</v>
      </c>
      <c r="T45" s="543">
        <v>15</v>
      </c>
      <c r="U45" s="543">
        <v>25</v>
      </c>
      <c r="V45" s="543">
        <v>10</v>
      </c>
      <c r="W45" s="543">
        <v>20</v>
      </c>
      <c r="X45" s="543">
        <v>10</v>
      </c>
      <c r="Y45" s="543" t="s">
        <v>949</v>
      </c>
    </row>
    <row r="46" spans="3:25">
      <c r="C46" s="88" t="str">
        <f>'G-1 All Habitats'!B45</f>
        <v>Lakes - Ponds (Priority Habitat)</v>
      </c>
      <c r="D46" s="543" t="s">
        <v>949</v>
      </c>
      <c r="E46" s="543" t="s">
        <v>949</v>
      </c>
      <c r="F46" s="543">
        <v>2</v>
      </c>
      <c r="G46" s="543">
        <v>3</v>
      </c>
      <c r="H46" s="543">
        <v>5</v>
      </c>
      <c r="I46" s="543">
        <v>7</v>
      </c>
      <c r="J46" s="543">
        <v>10</v>
      </c>
      <c r="K46" s="543" t="s">
        <v>949</v>
      </c>
      <c r="L46" s="543" t="s">
        <v>949</v>
      </c>
      <c r="M46" s="543" t="s">
        <v>949</v>
      </c>
      <c r="N46" s="543" t="s">
        <v>949</v>
      </c>
      <c r="O46" s="543">
        <v>2</v>
      </c>
      <c r="P46" s="543">
        <v>4</v>
      </c>
      <c r="Q46" s="543">
        <v>6</v>
      </c>
      <c r="R46" s="543">
        <v>8</v>
      </c>
      <c r="S46" s="543">
        <v>2</v>
      </c>
      <c r="T46" s="543">
        <v>4</v>
      </c>
      <c r="U46" s="543">
        <v>6</v>
      </c>
      <c r="V46" s="543">
        <v>2</v>
      </c>
      <c r="W46" s="543">
        <v>4</v>
      </c>
      <c r="X46" s="543">
        <v>2</v>
      </c>
      <c r="Y46" s="543" t="s">
        <v>949</v>
      </c>
    </row>
    <row r="47" spans="3:25">
      <c r="C47" s="88" t="str">
        <f>'G-1 All Habitats'!B46</f>
        <v>Lakes - Ponds (Non- Priority Habitat)</v>
      </c>
      <c r="D47" s="543" t="s">
        <v>949</v>
      </c>
      <c r="E47" s="543" t="s">
        <v>949</v>
      </c>
      <c r="F47" s="543">
        <v>1</v>
      </c>
      <c r="G47" s="543">
        <v>2</v>
      </c>
      <c r="H47" s="543">
        <v>3</v>
      </c>
      <c r="I47" s="543">
        <v>4</v>
      </c>
      <c r="J47" s="543">
        <v>5</v>
      </c>
      <c r="K47" s="543" t="s">
        <v>949</v>
      </c>
      <c r="L47" s="543" t="s">
        <v>949</v>
      </c>
      <c r="M47" s="543" t="s">
        <v>949</v>
      </c>
      <c r="N47" s="543" t="s">
        <v>949</v>
      </c>
      <c r="O47" s="543">
        <v>2</v>
      </c>
      <c r="P47" s="543">
        <v>4</v>
      </c>
      <c r="Q47" s="543">
        <v>6</v>
      </c>
      <c r="R47" s="543">
        <v>8</v>
      </c>
      <c r="S47" s="543">
        <v>2</v>
      </c>
      <c r="T47" s="543">
        <v>4</v>
      </c>
      <c r="U47" s="543">
        <v>6</v>
      </c>
      <c r="V47" s="543">
        <v>2</v>
      </c>
      <c r="W47" s="543">
        <v>4</v>
      </c>
      <c r="X47" s="543">
        <v>2</v>
      </c>
      <c r="Y47" s="543" t="s">
        <v>949</v>
      </c>
    </row>
    <row r="48" spans="3:25">
      <c r="C48" s="88" t="str">
        <f>'G-1 All Habitats'!B47</f>
        <v>Lakes - Reservoirs</v>
      </c>
      <c r="D48" s="543" t="s">
        <v>949</v>
      </c>
      <c r="E48" s="543" t="s">
        <v>949</v>
      </c>
      <c r="F48" s="543">
        <v>1</v>
      </c>
      <c r="G48" s="543">
        <v>3</v>
      </c>
      <c r="H48" s="543">
        <v>5</v>
      </c>
      <c r="I48" s="543">
        <v>7</v>
      </c>
      <c r="J48" s="543">
        <v>10</v>
      </c>
      <c r="K48" s="543" t="s">
        <v>949</v>
      </c>
      <c r="L48" s="543" t="s">
        <v>949</v>
      </c>
      <c r="M48" s="543" t="s">
        <v>949</v>
      </c>
      <c r="N48" s="543" t="s">
        <v>949</v>
      </c>
      <c r="O48" s="543">
        <v>5</v>
      </c>
      <c r="P48" s="543">
        <v>10</v>
      </c>
      <c r="Q48" s="543">
        <v>15</v>
      </c>
      <c r="R48" s="543">
        <v>30</v>
      </c>
      <c r="S48" s="543">
        <v>5</v>
      </c>
      <c r="T48" s="543">
        <v>15</v>
      </c>
      <c r="U48" s="543">
        <v>25</v>
      </c>
      <c r="V48" s="543">
        <v>10</v>
      </c>
      <c r="W48" s="543">
        <v>20</v>
      </c>
      <c r="X48" s="543">
        <v>10</v>
      </c>
      <c r="Y48" s="543" t="s">
        <v>949</v>
      </c>
    </row>
    <row r="49" spans="3:25">
      <c r="C49" s="88" t="str">
        <f>'G-1 All Habitats'!B48</f>
        <v>Lakes - Temporary lakes, ponds and pools</v>
      </c>
      <c r="D49" s="543" t="s">
        <v>949</v>
      </c>
      <c r="E49" s="543" t="s">
        <v>949</v>
      </c>
      <c r="F49" s="543">
        <v>2</v>
      </c>
      <c r="G49" s="543">
        <v>3</v>
      </c>
      <c r="H49" s="543">
        <v>5</v>
      </c>
      <c r="I49" s="543">
        <v>7</v>
      </c>
      <c r="J49" s="543">
        <v>10</v>
      </c>
      <c r="K49" s="543" t="s">
        <v>949</v>
      </c>
      <c r="L49" s="543" t="s">
        <v>949</v>
      </c>
      <c r="M49" s="543" t="s">
        <v>949</v>
      </c>
      <c r="N49" s="543" t="s">
        <v>949</v>
      </c>
      <c r="O49" s="543">
        <v>2</v>
      </c>
      <c r="P49" s="543">
        <v>4</v>
      </c>
      <c r="Q49" s="543">
        <v>6</v>
      </c>
      <c r="R49" s="543">
        <v>8</v>
      </c>
      <c r="S49" s="543">
        <v>2</v>
      </c>
      <c r="T49" s="543">
        <v>4</v>
      </c>
      <c r="U49" s="543">
        <v>6</v>
      </c>
      <c r="V49" s="543">
        <v>2</v>
      </c>
      <c r="W49" s="543">
        <v>4</v>
      </c>
      <c r="X49" s="543">
        <v>2</v>
      </c>
      <c r="Y49" s="543" t="s">
        <v>949</v>
      </c>
    </row>
    <row r="50" spans="3:25">
      <c r="C50" s="88" t="str">
        <f>'G-1 All Habitats'!B49</f>
        <v>Sparsely vegetated land - Calaminarian grasslands</v>
      </c>
      <c r="D50" s="543" t="s">
        <v>949</v>
      </c>
      <c r="E50" s="543" t="s">
        <v>949</v>
      </c>
      <c r="F50" s="543">
        <v>2</v>
      </c>
      <c r="G50" s="543">
        <v>3</v>
      </c>
      <c r="H50" s="543">
        <v>5</v>
      </c>
      <c r="I50" s="543">
        <v>7</v>
      </c>
      <c r="J50" s="543">
        <v>10</v>
      </c>
      <c r="K50" s="543" t="s">
        <v>949</v>
      </c>
      <c r="L50" s="543" t="s">
        <v>949</v>
      </c>
      <c r="M50" s="543" t="s">
        <v>949</v>
      </c>
      <c r="N50" s="543" t="s">
        <v>949</v>
      </c>
      <c r="O50" s="543">
        <v>1</v>
      </c>
      <c r="P50" s="543">
        <v>3</v>
      </c>
      <c r="Q50" s="543">
        <v>5</v>
      </c>
      <c r="R50" s="543">
        <v>8</v>
      </c>
      <c r="S50" s="543">
        <v>1</v>
      </c>
      <c r="T50" s="543">
        <v>4</v>
      </c>
      <c r="U50" s="543">
        <v>7</v>
      </c>
      <c r="V50" s="543">
        <v>2</v>
      </c>
      <c r="W50" s="543">
        <v>5</v>
      </c>
      <c r="X50" s="543">
        <v>3</v>
      </c>
      <c r="Y50" s="543" t="s">
        <v>949</v>
      </c>
    </row>
    <row r="51" spans="3:25">
      <c r="C51" s="88" t="str">
        <f>'G-1 All Habitats'!B50</f>
        <v>Sparsely vegetated land - Coastal sand dunes</v>
      </c>
      <c r="D51" s="543" t="s">
        <v>949</v>
      </c>
      <c r="E51" s="543" t="s">
        <v>949</v>
      </c>
      <c r="F51" s="543">
        <v>5</v>
      </c>
      <c r="G51" s="543">
        <v>7</v>
      </c>
      <c r="H51" s="543">
        <v>10</v>
      </c>
      <c r="I51" s="543">
        <v>15</v>
      </c>
      <c r="J51" s="543">
        <v>20</v>
      </c>
      <c r="K51" s="543" t="s">
        <v>949</v>
      </c>
      <c r="L51" s="543" t="s">
        <v>949</v>
      </c>
      <c r="M51" s="543" t="s">
        <v>949</v>
      </c>
      <c r="N51" s="543" t="s">
        <v>949</v>
      </c>
      <c r="O51" s="543">
        <v>5</v>
      </c>
      <c r="P51" s="543">
        <v>8</v>
      </c>
      <c r="Q51" s="543">
        <v>15</v>
      </c>
      <c r="R51" s="543">
        <v>20</v>
      </c>
      <c r="S51" s="543">
        <v>5</v>
      </c>
      <c r="T51" s="543">
        <v>10</v>
      </c>
      <c r="U51" s="543">
        <v>18</v>
      </c>
      <c r="V51" s="543">
        <v>7</v>
      </c>
      <c r="W51" s="543">
        <v>12</v>
      </c>
      <c r="X51" s="543">
        <v>8</v>
      </c>
      <c r="Y51" s="543" t="s">
        <v>949</v>
      </c>
    </row>
    <row r="52" spans="3:25">
      <c r="C52" s="88" t="str">
        <f>'G-1 All Habitats'!B51</f>
        <v>Sparsely vegetated land - Coastal vegetated shingle</v>
      </c>
      <c r="D52" s="543" t="s">
        <v>949</v>
      </c>
      <c r="E52" s="543" t="s">
        <v>949</v>
      </c>
      <c r="F52" s="543">
        <v>5</v>
      </c>
      <c r="G52" s="543">
        <v>7</v>
      </c>
      <c r="H52" s="543">
        <v>10</v>
      </c>
      <c r="I52" s="543">
        <v>15</v>
      </c>
      <c r="J52" s="543">
        <v>20</v>
      </c>
      <c r="K52" s="543" t="s">
        <v>949</v>
      </c>
      <c r="L52" s="543" t="s">
        <v>949</v>
      </c>
      <c r="M52" s="543" t="s">
        <v>949</v>
      </c>
      <c r="N52" s="543" t="s">
        <v>949</v>
      </c>
      <c r="O52" s="543">
        <v>5</v>
      </c>
      <c r="P52" s="543">
        <v>8</v>
      </c>
      <c r="Q52" s="543">
        <v>15</v>
      </c>
      <c r="R52" s="543">
        <v>20</v>
      </c>
      <c r="S52" s="543">
        <v>5</v>
      </c>
      <c r="T52" s="543">
        <v>10</v>
      </c>
      <c r="U52" s="543">
        <v>18</v>
      </c>
      <c r="V52" s="543">
        <v>7</v>
      </c>
      <c r="W52" s="543">
        <v>12</v>
      </c>
      <c r="X52" s="543">
        <v>8</v>
      </c>
      <c r="Y52" s="543" t="s">
        <v>949</v>
      </c>
    </row>
    <row r="53" spans="3:25">
      <c r="C53" s="88" t="str">
        <f>'G-1 All Habitats'!B52</f>
        <v>Sparsely vegetated land - Ruderal/Ephemeral</v>
      </c>
      <c r="D53" s="543" t="s">
        <v>949</v>
      </c>
      <c r="E53" s="543" t="s">
        <v>949</v>
      </c>
      <c r="F53" s="543" t="s">
        <v>949</v>
      </c>
      <c r="G53" s="543" t="s">
        <v>949</v>
      </c>
      <c r="H53" s="543" t="s">
        <v>949</v>
      </c>
      <c r="I53" s="543" t="s">
        <v>949</v>
      </c>
      <c r="J53" s="543" t="s">
        <v>949</v>
      </c>
      <c r="K53" s="543" t="s">
        <v>949</v>
      </c>
      <c r="L53" s="543" t="s">
        <v>949</v>
      </c>
      <c r="M53" s="543" t="s">
        <v>949</v>
      </c>
      <c r="N53" s="543" t="s">
        <v>949</v>
      </c>
      <c r="O53" s="543">
        <v>1</v>
      </c>
      <c r="P53" s="543">
        <v>2</v>
      </c>
      <c r="Q53" s="543">
        <v>3</v>
      </c>
      <c r="R53" s="543">
        <v>5</v>
      </c>
      <c r="S53" s="543">
        <v>1</v>
      </c>
      <c r="T53" s="543">
        <v>2</v>
      </c>
      <c r="U53" s="543">
        <v>3</v>
      </c>
      <c r="V53" s="543">
        <v>1</v>
      </c>
      <c r="W53" s="543">
        <v>2</v>
      </c>
      <c r="X53" s="543">
        <v>1</v>
      </c>
      <c r="Y53" s="543" t="s">
        <v>949</v>
      </c>
    </row>
    <row r="54" spans="3:25">
      <c r="C54" s="88" t="str">
        <f>'G-1 All Habitats'!B53</f>
        <v>Sparsely vegetated land - Inland rock outcrop and scree habitats</v>
      </c>
      <c r="D54" s="543" t="s">
        <v>949</v>
      </c>
      <c r="E54" s="543" t="s">
        <v>949</v>
      </c>
      <c r="F54" s="543">
        <v>10</v>
      </c>
      <c r="G54" s="543">
        <v>15</v>
      </c>
      <c r="H54" s="543">
        <v>20</v>
      </c>
      <c r="I54" s="543">
        <v>25</v>
      </c>
      <c r="J54" s="543" t="s">
        <v>950</v>
      </c>
      <c r="K54" s="543" t="s">
        <v>949</v>
      </c>
      <c r="L54" s="543" t="s">
        <v>949</v>
      </c>
      <c r="M54" s="543" t="s">
        <v>949</v>
      </c>
      <c r="N54" s="543" t="s">
        <v>949</v>
      </c>
      <c r="O54" s="543">
        <v>10</v>
      </c>
      <c r="P54" s="543">
        <v>15</v>
      </c>
      <c r="Q54" s="543">
        <v>25</v>
      </c>
      <c r="R54" s="543" t="s">
        <v>950</v>
      </c>
      <c r="S54" s="543">
        <v>20</v>
      </c>
      <c r="T54" s="543">
        <v>25</v>
      </c>
      <c r="U54" s="543">
        <v>27</v>
      </c>
      <c r="V54" s="543">
        <v>15</v>
      </c>
      <c r="W54" s="543">
        <v>20</v>
      </c>
      <c r="X54" s="543">
        <v>15</v>
      </c>
      <c r="Y54" s="543" t="s">
        <v>949</v>
      </c>
    </row>
    <row r="55" spans="3:25">
      <c r="C55" s="88" t="str">
        <f>'G-1 All Habitats'!B54</f>
        <v>Sparsely vegetated land - Limestone pavement</v>
      </c>
      <c r="D55" s="543" t="s">
        <v>949</v>
      </c>
      <c r="E55" s="543" t="s">
        <v>949</v>
      </c>
      <c r="F55" s="543" t="s">
        <v>950</v>
      </c>
      <c r="G55" s="543" t="s">
        <v>950</v>
      </c>
      <c r="H55" s="543" t="s">
        <v>950</v>
      </c>
      <c r="I55" s="543" t="s">
        <v>950</v>
      </c>
      <c r="J55" s="543" t="s">
        <v>950</v>
      </c>
      <c r="K55" s="543" t="s">
        <v>949</v>
      </c>
      <c r="L55" s="543" t="s">
        <v>949</v>
      </c>
      <c r="M55" s="543" t="s">
        <v>949</v>
      </c>
      <c r="N55" s="543" t="s">
        <v>949</v>
      </c>
      <c r="O55" s="543">
        <v>5</v>
      </c>
      <c r="P55" s="543">
        <v>10</v>
      </c>
      <c r="Q55" s="543">
        <v>15</v>
      </c>
      <c r="R55" s="543">
        <v>20</v>
      </c>
      <c r="S55" s="543">
        <v>5</v>
      </c>
      <c r="T55" s="543">
        <v>10</v>
      </c>
      <c r="U55" s="543">
        <v>15</v>
      </c>
      <c r="V55" s="543">
        <v>5</v>
      </c>
      <c r="W55" s="543">
        <v>10</v>
      </c>
      <c r="X55" s="543">
        <v>5</v>
      </c>
      <c r="Y55" s="543" t="s">
        <v>949</v>
      </c>
    </row>
    <row r="56" spans="3:25">
      <c r="C56" s="88" t="str">
        <f>'G-1 All Habitats'!B55</f>
        <v>Sparsely vegetated land - Maritime cliff and slopes</v>
      </c>
      <c r="D56" s="543" t="s">
        <v>949</v>
      </c>
      <c r="E56" s="543" t="s">
        <v>949</v>
      </c>
      <c r="F56" s="543">
        <v>10</v>
      </c>
      <c r="G56" s="543">
        <v>15</v>
      </c>
      <c r="H56" s="543">
        <v>20</v>
      </c>
      <c r="I56" s="543">
        <v>25</v>
      </c>
      <c r="J56" s="543" t="s">
        <v>950</v>
      </c>
      <c r="K56" s="543" t="s">
        <v>949</v>
      </c>
      <c r="L56" s="543" t="s">
        <v>949</v>
      </c>
      <c r="M56" s="543" t="s">
        <v>949</v>
      </c>
      <c r="N56" s="543" t="s">
        <v>949</v>
      </c>
      <c r="O56" s="543">
        <v>5</v>
      </c>
      <c r="P56" s="543">
        <v>8</v>
      </c>
      <c r="Q56" s="543">
        <v>15</v>
      </c>
      <c r="R56" s="543">
        <v>20</v>
      </c>
      <c r="S56" s="543">
        <v>5</v>
      </c>
      <c r="T56" s="543">
        <v>10</v>
      </c>
      <c r="U56" s="543">
        <v>18</v>
      </c>
      <c r="V56" s="543">
        <v>7</v>
      </c>
      <c r="W56" s="543">
        <v>12</v>
      </c>
      <c r="X56" s="543">
        <v>8</v>
      </c>
      <c r="Y56" s="543" t="s">
        <v>949</v>
      </c>
    </row>
    <row r="57" spans="3:25">
      <c r="C57" s="88" t="str">
        <f>'G-1 All Habitats'!B56</f>
        <v>Sparsely vegetated land - Other inland rock and scree</v>
      </c>
      <c r="D57" s="543" t="s">
        <v>949</v>
      </c>
      <c r="E57" s="543" t="s">
        <v>949</v>
      </c>
      <c r="F57" s="543">
        <v>3</v>
      </c>
      <c r="G57" s="543">
        <v>5</v>
      </c>
      <c r="H57" s="543">
        <v>10</v>
      </c>
      <c r="I57" s="543">
        <v>15</v>
      </c>
      <c r="J57" s="543">
        <v>20</v>
      </c>
      <c r="K57" s="543" t="s">
        <v>949</v>
      </c>
      <c r="L57" s="543" t="s">
        <v>949</v>
      </c>
      <c r="M57" s="543" t="s">
        <v>949</v>
      </c>
      <c r="N57" s="543" t="s">
        <v>949</v>
      </c>
      <c r="O57" s="543">
        <v>5</v>
      </c>
      <c r="P57" s="543">
        <v>10</v>
      </c>
      <c r="Q57" s="543">
        <v>15</v>
      </c>
      <c r="R57" s="543">
        <v>20</v>
      </c>
      <c r="S57" s="543">
        <v>5</v>
      </c>
      <c r="T57" s="543">
        <v>10</v>
      </c>
      <c r="U57" s="543">
        <v>15</v>
      </c>
      <c r="V57" s="543">
        <v>5</v>
      </c>
      <c r="W57" s="543">
        <v>10</v>
      </c>
      <c r="X57" s="543">
        <v>5</v>
      </c>
      <c r="Y57" s="543" t="s">
        <v>949</v>
      </c>
    </row>
    <row r="58" spans="3:25">
      <c r="C58" s="88" t="str">
        <f>'G-1 All Habitats'!B57</f>
        <v>Urban - Allotments</v>
      </c>
      <c r="D58" s="543" t="s">
        <v>949</v>
      </c>
      <c r="E58" s="543" t="s">
        <v>949</v>
      </c>
      <c r="F58" s="543">
        <v>1</v>
      </c>
      <c r="G58" s="543">
        <v>1</v>
      </c>
      <c r="H58" s="543">
        <v>1</v>
      </c>
      <c r="I58" s="543">
        <v>1</v>
      </c>
      <c r="J58" s="543">
        <v>1</v>
      </c>
      <c r="K58" s="543" t="s">
        <v>949</v>
      </c>
      <c r="L58" s="543" t="s">
        <v>949</v>
      </c>
      <c r="M58" s="543" t="s">
        <v>949</v>
      </c>
      <c r="N58" s="543" t="s">
        <v>949</v>
      </c>
      <c r="O58" s="543">
        <v>1</v>
      </c>
      <c r="P58" s="543">
        <v>1</v>
      </c>
      <c r="Q58" s="543">
        <v>1</v>
      </c>
      <c r="R58" s="543">
        <v>1</v>
      </c>
      <c r="S58" s="543">
        <v>1</v>
      </c>
      <c r="T58" s="543">
        <v>1</v>
      </c>
      <c r="U58" s="543">
        <v>1</v>
      </c>
      <c r="V58" s="543">
        <v>1</v>
      </c>
      <c r="W58" s="543">
        <v>1</v>
      </c>
      <c r="X58" s="543">
        <v>1</v>
      </c>
      <c r="Y58" s="543" t="s">
        <v>949</v>
      </c>
    </row>
    <row r="59" spans="3:25">
      <c r="C59" s="88" t="str">
        <f>'G-1 All Habitats'!B39</f>
        <v>Lakes - Ornamental lake or pond</v>
      </c>
      <c r="D59" s="543" t="s">
        <v>949</v>
      </c>
      <c r="E59" s="543" t="s">
        <v>949</v>
      </c>
      <c r="F59" s="543">
        <v>1</v>
      </c>
      <c r="G59" s="543">
        <v>2</v>
      </c>
      <c r="H59" s="543">
        <v>3</v>
      </c>
      <c r="I59" s="543">
        <v>4</v>
      </c>
      <c r="J59" s="543">
        <v>5</v>
      </c>
      <c r="K59" s="543" t="s">
        <v>949</v>
      </c>
      <c r="L59" s="543" t="s">
        <v>949</v>
      </c>
      <c r="M59" s="543" t="s">
        <v>949</v>
      </c>
      <c r="N59" s="543" t="s">
        <v>949</v>
      </c>
      <c r="O59" s="543">
        <v>2</v>
      </c>
      <c r="P59" s="543">
        <v>4</v>
      </c>
      <c r="Q59" s="543">
        <v>6</v>
      </c>
      <c r="R59" s="543">
        <v>8</v>
      </c>
      <c r="S59" s="543">
        <v>2</v>
      </c>
      <c r="T59" s="543">
        <v>4</v>
      </c>
      <c r="U59" s="543">
        <v>6</v>
      </c>
      <c r="V59" s="543">
        <v>2</v>
      </c>
      <c r="W59" s="543">
        <v>4</v>
      </c>
      <c r="X59" s="543">
        <v>2</v>
      </c>
      <c r="Y59" s="543" t="s">
        <v>949</v>
      </c>
    </row>
    <row r="60" spans="3:25">
      <c r="C60" s="88" t="str">
        <f>'G-1 All Habitats'!B58</f>
        <v>Urban - Artificial unvegetated, unsealed surface</v>
      </c>
      <c r="D60" s="543" t="s">
        <v>949</v>
      </c>
      <c r="E60" s="543" t="s">
        <v>949</v>
      </c>
      <c r="F60" s="543" t="s">
        <v>949</v>
      </c>
      <c r="G60" s="543" t="s">
        <v>949</v>
      </c>
      <c r="H60" s="543" t="s">
        <v>949</v>
      </c>
      <c r="I60" s="543" t="s">
        <v>949</v>
      </c>
      <c r="J60" s="543" t="s">
        <v>949</v>
      </c>
      <c r="K60" s="543" t="s">
        <v>949</v>
      </c>
      <c r="L60" s="543" t="s">
        <v>949</v>
      </c>
      <c r="M60" s="543" t="s">
        <v>949</v>
      </c>
      <c r="N60" s="543" t="s">
        <v>949</v>
      </c>
      <c r="O60" s="543" t="s">
        <v>949</v>
      </c>
      <c r="P60" s="543" t="s">
        <v>949</v>
      </c>
      <c r="Q60" s="543" t="s">
        <v>949</v>
      </c>
      <c r="R60" s="543" t="s">
        <v>949</v>
      </c>
      <c r="S60" s="543" t="s">
        <v>949</v>
      </c>
      <c r="T60" s="543" t="s">
        <v>949</v>
      </c>
      <c r="U60" s="543" t="s">
        <v>949</v>
      </c>
      <c r="V60" s="543" t="s">
        <v>949</v>
      </c>
      <c r="W60" s="543" t="s">
        <v>949</v>
      </c>
      <c r="X60" s="543" t="s">
        <v>949</v>
      </c>
      <c r="Y60" s="543" t="s">
        <v>949</v>
      </c>
    </row>
    <row r="61" spans="3:25">
      <c r="C61" s="88" t="str">
        <f>'G-1 All Habitats'!B59</f>
        <v>Urban - Bioswale</v>
      </c>
      <c r="D61" s="543" t="s">
        <v>949</v>
      </c>
      <c r="E61" s="543" t="s">
        <v>949</v>
      </c>
      <c r="F61" s="543">
        <v>1</v>
      </c>
      <c r="G61" s="543">
        <v>1</v>
      </c>
      <c r="H61" s="543">
        <v>1</v>
      </c>
      <c r="I61" s="543">
        <v>2</v>
      </c>
      <c r="J61" s="543">
        <v>3</v>
      </c>
      <c r="K61" s="543" t="s">
        <v>949</v>
      </c>
      <c r="L61" s="543" t="s">
        <v>949</v>
      </c>
      <c r="M61" s="543" t="s">
        <v>949</v>
      </c>
      <c r="N61" s="543" t="s">
        <v>949</v>
      </c>
      <c r="O61" s="543">
        <v>1</v>
      </c>
      <c r="P61" s="543">
        <v>2</v>
      </c>
      <c r="Q61" s="543">
        <v>2</v>
      </c>
      <c r="R61" s="543">
        <v>3</v>
      </c>
      <c r="S61" s="543">
        <v>1</v>
      </c>
      <c r="T61" s="543">
        <v>3</v>
      </c>
      <c r="U61" s="543">
        <v>3</v>
      </c>
      <c r="V61" s="543">
        <v>2</v>
      </c>
      <c r="W61" s="543">
        <v>2</v>
      </c>
      <c r="X61" s="543">
        <v>2</v>
      </c>
      <c r="Y61" s="543" t="s">
        <v>949</v>
      </c>
    </row>
    <row r="62" spans="3:25">
      <c r="C62" s="88" t="str">
        <f>'G-1 All Habitats'!B60</f>
        <v>Urban - Intensive green roof</v>
      </c>
      <c r="D62" s="543" t="s">
        <v>949</v>
      </c>
      <c r="E62" s="543" t="s">
        <v>949</v>
      </c>
      <c r="F62" s="543">
        <v>1</v>
      </c>
      <c r="G62" s="543">
        <v>2</v>
      </c>
      <c r="H62" s="543">
        <v>3</v>
      </c>
      <c r="I62" s="543">
        <v>4</v>
      </c>
      <c r="J62" s="543">
        <v>5</v>
      </c>
      <c r="K62" s="543" t="s">
        <v>949</v>
      </c>
      <c r="L62" s="543" t="s">
        <v>949</v>
      </c>
      <c r="M62" s="543" t="s">
        <v>949</v>
      </c>
      <c r="N62" s="543" t="s">
        <v>949</v>
      </c>
      <c r="O62" s="543">
        <v>1</v>
      </c>
      <c r="P62" s="543">
        <v>2</v>
      </c>
      <c r="Q62" s="543">
        <v>3</v>
      </c>
      <c r="R62" s="543">
        <v>5</v>
      </c>
      <c r="S62" s="543">
        <v>1</v>
      </c>
      <c r="T62" s="543">
        <v>2</v>
      </c>
      <c r="U62" s="543">
        <v>3</v>
      </c>
      <c r="V62" s="543">
        <v>1</v>
      </c>
      <c r="W62" s="543">
        <v>2</v>
      </c>
      <c r="X62" s="543">
        <v>1</v>
      </c>
      <c r="Y62" s="543" t="s">
        <v>949</v>
      </c>
    </row>
    <row r="63" spans="3:25">
      <c r="C63" s="88" t="str">
        <f>'G-1 All Habitats'!B61</f>
        <v>Urban - Built linear features</v>
      </c>
      <c r="D63" s="543" t="s">
        <v>949</v>
      </c>
      <c r="E63" s="543" t="s">
        <v>949</v>
      </c>
      <c r="F63" s="543" t="s">
        <v>949</v>
      </c>
      <c r="G63" s="543" t="s">
        <v>949</v>
      </c>
      <c r="H63" s="543" t="s">
        <v>949</v>
      </c>
      <c r="I63" s="543" t="s">
        <v>949</v>
      </c>
      <c r="J63" s="543" t="s">
        <v>949</v>
      </c>
      <c r="K63" s="543" t="s">
        <v>949</v>
      </c>
      <c r="L63" s="543" t="s">
        <v>949</v>
      </c>
      <c r="M63" s="543" t="s">
        <v>949</v>
      </c>
      <c r="N63" s="543" t="s">
        <v>949</v>
      </c>
      <c r="O63" s="543" t="s">
        <v>949</v>
      </c>
      <c r="P63" s="543" t="s">
        <v>949</v>
      </c>
      <c r="Q63" s="543" t="s">
        <v>949</v>
      </c>
      <c r="R63" s="543" t="s">
        <v>949</v>
      </c>
      <c r="S63" s="543" t="s">
        <v>949</v>
      </c>
      <c r="T63" s="543" t="s">
        <v>949</v>
      </c>
      <c r="U63" s="543" t="s">
        <v>949</v>
      </c>
      <c r="V63" s="543" t="s">
        <v>949</v>
      </c>
      <c r="W63" s="543" t="s">
        <v>949</v>
      </c>
      <c r="X63" s="543" t="s">
        <v>949</v>
      </c>
      <c r="Y63" s="543" t="s">
        <v>949</v>
      </c>
    </row>
    <row r="64" spans="3:25">
      <c r="C64" s="88" t="str">
        <f>'G-1 All Habitats'!B62</f>
        <v>Urban - Cemeteries and churchyards</v>
      </c>
      <c r="D64" s="543" t="s">
        <v>949</v>
      </c>
      <c r="E64" s="543" t="s">
        <v>949</v>
      </c>
      <c r="F64" s="543">
        <v>10</v>
      </c>
      <c r="G64" s="543">
        <v>12</v>
      </c>
      <c r="H64" s="543">
        <v>15</v>
      </c>
      <c r="I64" s="543">
        <v>17</v>
      </c>
      <c r="J64" s="543">
        <v>20</v>
      </c>
      <c r="K64" s="543" t="s">
        <v>949</v>
      </c>
      <c r="L64" s="543" t="s">
        <v>949</v>
      </c>
      <c r="M64" s="543" t="s">
        <v>949</v>
      </c>
      <c r="N64" s="543" t="s">
        <v>949</v>
      </c>
      <c r="O64" s="543">
        <v>5</v>
      </c>
      <c r="P64" s="543">
        <v>10</v>
      </c>
      <c r="Q64" s="543">
        <v>15</v>
      </c>
      <c r="R64" s="543">
        <v>20</v>
      </c>
      <c r="S64" s="543">
        <v>10</v>
      </c>
      <c r="T64" s="543">
        <v>15</v>
      </c>
      <c r="U64" s="543">
        <v>20</v>
      </c>
      <c r="V64" s="543">
        <v>10</v>
      </c>
      <c r="W64" s="543">
        <v>15</v>
      </c>
      <c r="X64" s="543">
        <v>5</v>
      </c>
      <c r="Y64" s="543" t="s">
        <v>949</v>
      </c>
    </row>
    <row r="65" spans="3:25">
      <c r="C65" s="88" t="str">
        <f>'G-1 All Habitats'!B63</f>
        <v>Urban - Developed land; sealed surface</v>
      </c>
      <c r="D65" s="543" t="s">
        <v>949</v>
      </c>
      <c r="E65" s="543" t="s">
        <v>949</v>
      </c>
      <c r="F65" s="543" t="s">
        <v>949</v>
      </c>
      <c r="G65" s="543" t="s">
        <v>949</v>
      </c>
      <c r="H65" s="543" t="s">
        <v>949</v>
      </c>
      <c r="I65" s="543" t="s">
        <v>949</v>
      </c>
      <c r="J65" s="543" t="s">
        <v>949</v>
      </c>
      <c r="K65" s="543" t="s">
        <v>949</v>
      </c>
      <c r="L65" s="543" t="s">
        <v>949</v>
      </c>
      <c r="M65" s="543" t="s">
        <v>949</v>
      </c>
      <c r="N65" s="543" t="s">
        <v>949</v>
      </c>
      <c r="O65" s="543" t="s">
        <v>949</v>
      </c>
      <c r="P65" s="543" t="s">
        <v>949</v>
      </c>
      <c r="Q65" s="543" t="s">
        <v>949</v>
      </c>
      <c r="R65" s="543" t="s">
        <v>949</v>
      </c>
      <c r="S65" s="543" t="s">
        <v>949</v>
      </c>
      <c r="T65" s="543" t="s">
        <v>949</v>
      </c>
      <c r="U65" s="543" t="s">
        <v>949</v>
      </c>
      <c r="V65" s="543" t="s">
        <v>949</v>
      </c>
      <c r="W65" s="543" t="s">
        <v>949</v>
      </c>
      <c r="X65" s="543" t="s">
        <v>949</v>
      </c>
      <c r="Y65" s="543" t="s">
        <v>949</v>
      </c>
    </row>
    <row r="66" spans="3:25">
      <c r="C66" s="88" t="str">
        <f>'G-1 All Habitats'!B64</f>
        <v>Urban - Other green roof</v>
      </c>
      <c r="D66" s="543" t="s">
        <v>949</v>
      </c>
      <c r="E66" s="543" t="s">
        <v>949</v>
      </c>
      <c r="F66" s="543" t="s">
        <v>949</v>
      </c>
      <c r="G66" s="543" t="s">
        <v>949</v>
      </c>
      <c r="H66" s="543" t="s">
        <v>949</v>
      </c>
      <c r="I66" s="543" t="s">
        <v>949</v>
      </c>
      <c r="J66" s="543" t="s">
        <v>949</v>
      </c>
      <c r="K66" s="543" t="s">
        <v>949</v>
      </c>
      <c r="L66" s="543" t="s">
        <v>949</v>
      </c>
      <c r="M66" s="543" t="s">
        <v>949</v>
      </c>
      <c r="N66" s="543" t="s">
        <v>949</v>
      </c>
      <c r="O66" s="543" t="s">
        <v>949</v>
      </c>
      <c r="P66" s="543" t="s">
        <v>949</v>
      </c>
      <c r="Q66" s="543" t="s">
        <v>949</v>
      </c>
      <c r="R66" s="543" t="s">
        <v>949</v>
      </c>
      <c r="S66" s="543" t="s">
        <v>949</v>
      </c>
      <c r="T66" s="543" t="s">
        <v>949</v>
      </c>
      <c r="U66" s="543" t="s">
        <v>949</v>
      </c>
      <c r="V66" s="543" t="s">
        <v>949</v>
      </c>
      <c r="W66" s="543" t="s">
        <v>949</v>
      </c>
      <c r="X66" s="543" t="s">
        <v>949</v>
      </c>
      <c r="Y66" s="543" t="s">
        <v>949</v>
      </c>
    </row>
    <row r="67" spans="3:25">
      <c r="C67" s="88" t="str">
        <f>'G-1 All Habitats'!B65</f>
        <v>Urban - Facade-bound green wall</v>
      </c>
      <c r="D67" s="543" t="s">
        <v>949</v>
      </c>
      <c r="E67" s="543" t="s">
        <v>949</v>
      </c>
      <c r="F67" s="543">
        <v>1</v>
      </c>
      <c r="G67" s="543">
        <v>2</v>
      </c>
      <c r="H67" s="543">
        <v>3</v>
      </c>
      <c r="I67" s="543">
        <v>4</v>
      </c>
      <c r="J67" s="543">
        <v>5</v>
      </c>
      <c r="K67" s="543" t="s">
        <v>949</v>
      </c>
      <c r="L67" s="543" t="s">
        <v>949</v>
      </c>
      <c r="M67" s="543" t="s">
        <v>949</v>
      </c>
      <c r="N67" s="543" t="s">
        <v>949</v>
      </c>
      <c r="O67" s="543">
        <v>1</v>
      </c>
      <c r="P67" s="543">
        <v>2</v>
      </c>
      <c r="Q67" s="543">
        <v>3</v>
      </c>
      <c r="R67" s="543">
        <v>5</v>
      </c>
      <c r="S67" s="543">
        <v>1</v>
      </c>
      <c r="T67" s="543">
        <v>2</v>
      </c>
      <c r="U67" s="543">
        <v>3</v>
      </c>
      <c r="V67" s="543">
        <v>1</v>
      </c>
      <c r="W67" s="543">
        <v>2</v>
      </c>
      <c r="X67" s="543">
        <v>1</v>
      </c>
      <c r="Y67" s="543" t="s">
        <v>949</v>
      </c>
    </row>
    <row r="68" spans="3:25">
      <c r="C68" s="88" t="str">
        <f>'G-1 All Habitats'!B66</f>
        <v>Urban - Ground based green wall</v>
      </c>
      <c r="D68" s="543" t="s">
        <v>949</v>
      </c>
      <c r="E68" s="543" t="s">
        <v>949</v>
      </c>
      <c r="F68" s="543">
        <v>1</v>
      </c>
      <c r="G68" s="543">
        <v>2</v>
      </c>
      <c r="H68" s="543">
        <v>3</v>
      </c>
      <c r="I68" s="543">
        <v>4</v>
      </c>
      <c r="J68" s="543">
        <v>5</v>
      </c>
      <c r="K68" s="543" t="s">
        <v>949</v>
      </c>
      <c r="L68" s="543" t="s">
        <v>949</v>
      </c>
      <c r="M68" s="543" t="s">
        <v>949</v>
      </c>
      <c r="N68" s="543" t="s">
        <v>949</v>
      </c>
      <c r="O68" s="543">
        <v>1</v>
      </c>
      <c r="P68" s="543">
        <v>2</v>
      </c>
      <c r="Q68" s="543">
        <v>3</v>
      </c>
      <c r="R68" s="543">
        <v>5</v>
      </c>
      <c r="S68" s="543">
        <v>1</v>
      </c>
      <c r="T68" s="543">
        <v>2</v>
      </c>
      <c r="U68" s="543">
        <v>3</v>
      </c>
      <c r="V68" s="543">
        <v>1</v>
      </c>
      <c r="W68" s="543">
        <v>2</v>
      </c>
      <c r="X68" s="543">
        <v>1</v>
      </c>
      <c r="Y68" s="543" t="s">
        <v>949</v>
      </c>
    </row>
    <row r="69" spans="3:25">
      <c r="C69" s="88" t="str">
        <f>'G-1 All Habitats'!B67</f>
        <v>Urban - Ground level planters</v>
      </c>
      <c r="D69" s="543" t="s">
        <v>949</v>
      </c>
      <c r="E69" s="543" t="s">
        <v>949</v>
      </c>
      <c r="F69" s="543" t="s">
        <v>949</v>
      </c>
      <c r="G69" s="543" t="s">
        <v>949</v>
      </c>
      <c r="H69" s="543" t="s">
        <v>949</v>
      </c>
      <c r="I69" s="543" t="s">
        <v>949</v>
      </c>
      <c r="J69" s="543" t="s">
        <v>949</v>
      </c>
      <c r="K69" s="543" t="s">
        <v>949</v>
      </c>
      <c r="L69" s="543" t="s">
        <v>949</v>
      </c>
      <c r="M69" s="543" t="s">
        <v>949</v>
      </c>
      <c r="N69" s="543" t="s">
        <v>949</v>
      </c>
      <c r="O69" s="543" t="s">
        <v>949</v>
      </c>
      <c r="P69" s="543" t="s">
        <v>949</v>
      </c>
      <c r="Q69" s="543" t="s">
        <v>949</v>
      </c>
      <c r="R69" s="543" t="s">
        <v>949</v>
      </c>
      <c r="S69" s="543" t="s">
        <v>949</v>
      </c>
      <c r="T69" s="543" t="s">
        <v>949</v>
      </c>
      <c r="U69" s="543" t="s">
        <v>949</v>
      </c>
      <c r="V69" s="543" t="s">
        <v>949</v>
      </c>
      <c r="W69" s="543" t="s">
        <v>949</v>
      </c>
      <c r="X69" s="543" t="s">
        <v>949</v>
      </c>
      <c r="Y69" s="543" t="s">
        <v>949</v>
      </c>
    </row>
    <row r="70" spans="3:25">
      <c r="C70" s="88" t="str">
        <f>'G-1 All Habitats'!B68</f>
        <v>Urban - Biodiverse green roof</v>
      </c>
      <c r="D70" s="543" t="s">
        <v>949</v>
      </c>
      <c r="E70" s="543" t="s">
        <v>949</v>
      </c>
      <c r="F70" s="543">
        <v>1</v>
      </c>
      <c r="G70" s="543">
        <v>3</v>
      </c>
      <c r="H70" s="543">
        <v>5</v>
      </c>
      <c r="I70" s="543">
        <v>8</v>
      </c>
      <c r="J70" s="543">
        <v>10</v>
      </c>
      <c r="K70" s="543" t="s">
        <v>949</v>
      </c>
      <c r="L70" s="543" t="s">
        <v>949</v>
      </c>
      <c r="M70" s="543" t="s">
        <v>949</v>
      </c>
      <c r="N70" s="543" t="s">
        <v>949</v>
      </c>
      <c r="O70" s="543">
        <v>3</v>
      </c>
      <c r="P70" s="543">
        <v>5</v>
      </c>
      <c r="Q70" s="543">
        <v>8</v>
      </c>
      <c r="R70" s="543">
        <v>10</v>
      </c>
      <c r="S70" s="543">
        <v>3</v>
      </c>
      <c r="T70" s="543">
        <v>8</v>
      </c>
      <c r="U70" s="543">
        <v>8</v>
      </c>
      <c r="V70" s="543">
        <v>3</v>
      </c>
      <c r="W70" s="543">
        <v>5</v>
      </c>
      <c r="X70" s="543">
        <v>2</v>
      </c>
      <c r="Y70" s="543" t="s">
        <v>949</v>
      </c>
    </row>
    <row r="71" spans="3:25">
      <c r="C71" s="88" t="str">
        <f>'G-1 All Habitats'!B69</f>
        <v>Urban - Introduced shrub</v>
      </c>
      <c r="D71" s="543" t="s">
        <v>949</v>
      </c>
      <c r="E71" s="543" t="s">
        <v>949</v>
      </c>
      <c r="F71" s="543" t="s">
        <v>949</v>
      </c>
      <c r="G71" s="543" t="s">
        <v>949</v>
      </c>
      <c r="H71" s="543" t="s">
        <v>949</v>
      </c>
      <c r="I71" s="543" t="s">
        <v>949</v>
      </c>
      <c r="J71" s="543" t="s">
        <v>949</v>
      </c>
      <c r="K71" s="543" t="s">
        <v>949</v>
      </c>
      <c r="L71" s="543" t="s">
        <v>949</v>
      </c>
      <c r="M71" s="543" t="s">
        <v>949</v>
      </c>
      <c r="N71" s="543" t="s">
        <v>949</v>
      </c>
      <c r="O71" s="543" t="s">
        <v>949</v>
      </c>
      <c r="P71" s="543" t="s">
        <v>949</v>
      </c>
      <c r="Q71" s="543" t="s">
        <v>949</v>
      </c>
      <c r="R71" s="543" t="s">
        <v>949</v>
      </c>
      <c r="S71" s="543" t="s">
        <v>949</v>
      </c>
      <c r="T71" s="543" t="s">
        <v>949</v>
      </c>
      <c r="U71" s="543" t="s">
        <v>949</v>
      </c>
      <c r="V71" s="543" t="s">
        <v>949</v>
      </c>
      <c r="W71" s="543" t="s">
        <v>949</v>
      </c>
      <c r="X71" s="543" t="s">
        <v>949</v>
      </c>
      <c r="Y71" s="543" t="s">
        <v>949</v>
      </c>
    </row>
    <row r="72" spans="3:25">
      <c r="C72" s="88" t="str">
        <f>'G-1 All Habitats'!B70</f>
        <v>Urban - Open Mosaic Habitats on Previously Developed Land</v>
      </c>
      <c r="D72" s="543" t="s">
        <v>949</v>
      </c>
      <c r="E72" s="543" t="s">
        <v>949</v>
      </c>
      <c r="F72" s="543">
        <v>0</v>
      </c>
      <c r="G72" s="543">
        <v>2</v>
      </c>
      <c r="H72" s="543">
        <v>4</v>
      </c>
      <c r="I72" s="543">
        <v>7</v>
      </c>
      <c r="J72" s="543">
        <v>10</v>
      </c>
      <c r="K72" s="543" t="s">
        <v>949</v>
      </c>
      <c r="L72" s="543" t="s">
        <v>949</v>
      </c>
      <c r="M72" s="543" t="s">
        <v>949</v>
      </c>
      <c r="N72" s="543" t="s">
        <v>949</v>
      </c>
      <c r="O72" s="543">
        <v>2</v>
      </c>
      <c r="P72" s="543">
        <v>4</v>
      </c>
      <c r="Q72" s="543">
        <v>7</v>
      </c>
      <c r="R72" s="543">
        <v>10</v>
      </c>
      <c r="S72" s="543">
        <v>2</v>
      </c>
      <c r="T72" s="543">
        <v>5</v>
      </c>
      <c r="U72" s="543">
        <v>8</v>
      </c>
      <c r="V72" s="543">
        <v>3</v>
      </c>
      <c r="W72" s="543">
        <v>4</v>
      </c>
      <c r="X72" s="543">
        <v>3</v>
      </c>
      <c r="Y72" s="543" t="s">
        <v>949</v>
      </c>
    </row>
    <row r="73" spans="3:25">
      <c r="C73" s="88" t="str">
        <f>'G-1 All Habitats'!B71</f>
        <v>Urban - Rain garden</v>
      </c>
      <c r="D73" s="543" t="s">
        <v>949</v>
      </c>
      <c r="E73" s="543" t="s">
        <v>949</v>
      </c>
      <c r="F73" s="543">
        <v>1</v>
      </c>
      <c r="G73" s="543">
        <v>1</v>
      </c>
      <c r="H73" s="543">
        <v>1</v>
      </c>
      <c r="I73" s="543">
        <v>1</v>
      </c>
      <c r="J73" s="543">
        <v>1</v>
      </c>
      <c r="K73" s="543" t="s">
        <v>949</v>
      </c>
      <c r="L73" s="543" t="s">
        <v>949</v>
      </c>
      <c r="M73" s="543" t="s">
        <v>949</v>
      </c>
      <c r="N73" s="543" t="s">
        <v>949</v>
      </c>
      <c r="O73" s="543">
        <v>1</v>
      </c>
      <c r="P73" s="543">
        <v>1</v>
      </c>
      <c r="Q73" s="543">
        <v>1</v>
      </c>
      <c r="R73" s="543">
        <v>1</v>
      </c>
      <c r="S73" s="543">
        <v>1</v>
      </c>
      <c r="T73" s="543">
        <v>1</v>
      </c>
      <c r="U73" s="543">
        <v>1</v>
      </c>
      <c r="V73" s="543">
        <v>1</v>
      </c>
      <c r="W73" s="543">
        <v>1</v>
      </c>
      <c r="X73" s="543">
        <v>1</v>
      </c>
      <c r="Y73" s="543" t="s">
        <v>949</v>
      </c>
    </row>
    <row r="74" spans="3:25">
      <c r="C74" s="88" t="str">
        <f>'G-1 All Habitats'!B72</f>
        <v>Urban - Actively worked sand pit quarry or open cast mine</v>
      </c>
      <c r="D74" s="543" t="s">
        <v>949</v>
      </c>
      <c r="E74" s="543" t="s">
        <v>949</v>
      </c>
      <c r="F74" s="543">
        <v>1</v>
      </c>
      <c r="G74" s="543" t="s">
        <v>949</v>
      </c>
      <c r="H74" s="543" t="s">
        <v>949</v>
      </c>
      <c r="I74" s="543" t="s">
        <v>949</v>
      </c>
      <c r="J74" s="543" t="s">
        <v>949</v>
      </c>
      <c r="K74" s="543" t="s">
        <v>949</v>
      </c>
      <c r="L74" s="543" t="s">
        <v>949</v>
      </c>
      <c r="M74" s="543" t="s">
        <v>949</v>
      </c>
      <c r="N74" s="543" t="s">
        <v>949</v>
      </c>
      <c r="O74" s="543" t="s">
        <v>949</v>
      </c>
      <c r="P74" s="543" t="s">
        <v>949</v>
      </c>
      <c r="Q74" s="543" t="s">
        <v>949</v>
      </c>
      <c r="R74" s="543" t="s">
        <v>949</v>
      </c>
      <c r="S74" s="543" t="s">
        <v>949</v>
      </c>
      <c r="T74" s="543" t="s">
        <v>949</v>
      </c>
      <c r="U74" s="543" t="s">
        <v>949</v>
      </c>
      <c r="V74" s="543" t="s">
        <v>949</v>
      </c>
      <c r="W74" s="543" t="s">
        <v>949</v>
      </c>
      <c r="X74" s="543" t="s">
        <v>949</v>
      </c>
      <c r="Y74" s="543" t="s">
        <v>949</v>
      </c>
    </row>
    <row r="75" spans="3:25">
      <c r="C75" s="88" t="str">
        <f>'G-1 All Habitats'!B73</f>
        <v>Urban - Urban Tree</v>
      </c>
      <c r="D75" s="543" t="s">
        <v>949</v>
      </c>
      <c r="E75" s="543" t="s">
        <v>949</v>
      </c>
      <c r="F75" s="543" t="s">
        <v>949</v>
      </c>
      <c r="G75" s="543" t="s">
        <v>949</v>
      </c>
      <c r="H75" s="543" t="s">
        <v>949</v>
      </c>
      <c r="I75" s="543" t="s">
        <v>949</v>
      </c>
      <c r="J75" s="543" t="s">
        <v>949</v>
      </c>
      <c r="K75" s="543" t="s">
        <v>949</v>
      </c>
      <c r="L75" s="543" t="s">
        <v>949</v>
      </c>
      <c r="M75" s="543" t="s">
        <v>949</v>
      </c>
      <c r="N75" s="543" t="s">
        <v>949</v>
      </c>
      <c r="O75" s="543">
        <v>8</v>
      </c>
      <c r="P75" s="543">
        <v>16</v>
      </c>
      <c r="Q75" s="543">
        <v>24</v>
      </c>
      <c r="R75" s="543" t="s">
        <v>950</v>
      </c>
      <c r="S75" s="543">
        <v>8</v>
      </c>
      <c r="T75" s="543">
        <v>16</v>
      </c>
      <c r="U75" s="543">
        <v>24</v>
      </c>
      <c r="V75" s="543">
        <v>8</v>
      </c>
      <c r="W75" s="543">
        <v>16</v>
      </c>
      <c r="X75" s="543">
        <v>8</v>
      </c>
      <c r="Y75" s="543" t="s">
        <v>949</v>
      </c>
    </row>
    <row r="76" spans="3:25">
      <c r="C76" s="88" t="str">
        <f>'G-1 All Habitats'!B74</f>
        <v>Urban - Sustainable urban drainage feature</v>
      </c>
      <c r="D76" s="543" t="s">
        <v>949</v>
      </c>
      <c r="E76" s="543" t="s">
        <v>949</v>
      </c>
      <c r="F76" s="543">
        <v>1</v>
      </c>
      <c r="G76" s="543">
        <v>2</v>
      </c>
      <c r="H76" s="543">
        <v>3</v>
      </c>
      <c r="I76" s="543">
        <v>4</v>
      </c>
      <c r="J76" s="543">
        <v>5</v>
      </c>
      <c r="K76" s="543" t="s">
        <v>949</v>
      </c>
      <c r="L76" s="543" t="s">
        <v>949</v>
      </c>
      <c r="M76" s="543" t="s">
        <v>949</v>
      </c>
      <c r="N76" s="543" t="s">
        <v>949</v>
      </c>
      <c r="O76" s="543">
        <v>1</v>
      </c>
      <c r="P76" s="543">
        <v>2</v>
      </c>
      <c r="Q76" s="543">
        <v>3</v>
      </c>
      <c r="R76" s="543">
        <v>5</v>
      </c>
      <c r="S76" s="543">
        <v>1</v>
      </c>
      <c r="T76" s="543">
        <v>2</v>
      </c>
      <c r="U76" s="543">
        <v>3</v>
      </c>
      <c r="V76" s="543">
        <v>1</v>
      </c>
      <c r="W76" s="543">
        <v>2</v>
      </c>
      <c r="X76" s="543">
        <v>1</v>
      </c>
      <c r="Y76" s="543" t="s">
        <v>949</v>
      </c>
    </row>
    <row r="77" spans="3:25">
      <c r="C77" s="88" t="str">
        <f>'G-1 All Habitats'!B75</f>
        <v>Urban - Un-vegetated garden</v>
      </c>
      <c r="D77" s="543" t="s">
        <v>949</v>
      </c>
      <c r="E77" s="543" t="s">
        <v>949</v>
      </c>
      <c r="F77" s="543" t="s">
        <v>949</v>
      </c>
      <c r="G77" s="543" t="s">
        <v>949</v>
      </c>
      <c r="H77" s="543" t="s">
        <v>949</v>
      </c>
      <c r="I77" s="543" t="s">
        <v>949</v>
      </c>
      <c r="J77" s="543" t="s">
        <v>949</v>
      </c>
      <c r="K77" s="543" t="s">
        <v>949</v>
      </c>
      <c r="L77" s="543" t="s">
        <v>949</v>
      </c>
      <c r="M77" s="543" t="s">
        <v>949</v>
      </c>
      <c r="N77" s="543" t="s">
        <v>949</v>
      </c>
      <c r="O77" s="543" t="s">
        <v>949</v>
      </c>
      <c r="P77" s="543" t="s">
        <v>949</v>
      </c>
      <c r="Q77" s="543" t="s">
        <v>949</v>
      </c>
      <c r="R77" s="543" t="s">
        <v>949</v>
      </c>
      <c r="S77" s="543" t="s">
        <v>949</v>
      </c>
      <c r="T77" s="543" t="s">
        <v>949</v>
      </c>
      <c r="U77" s="543" t="s">
        <v>949</v>
      </c>
      <c r="V77" s="543" t="s">
        <v>949</v>
      </c>
      <c r="W77" s="543" t="s">
        <v>949</v>
      </c>
      <c r="X77" s="543" t="s">
        <v>949</v>
      </c>
      <c r="Y77" s="543" t="s">
        <v>949</v>
      </c>
    </row>
    <row r="78" spans="3:25">
      <c r="C78" s="88" t="str">
        <f>'G-1 All Habitats'!B76</f>
        <v>Urban - Vacant/derelict land/ bareground</v>
      </c>
      <c r="D78" s="543" t="s">
        <v>949</v>
      </c>
      <c r="E78" s="543" t="s">
        <v>949</v>
      </c>
      <c r="F78" s="543">
        <v>1</v>
      </c>
      <c r="G78" s="543">
        <v>1</v>
      </c>
      <c r="H78" s="543">
        <v>1</v>
      </c>
      <c r="I78" s="543">
        <v>1</v>
      </c>
      <c r="J78" s="543">
        <v>1</v>
      </c>
      <c r="K78" s="543" t="s">
        <v>949</v>
      </c>
      <c r="L78" s="543" t="s">
        <v>949</v>
      </c>
      <c r="M78" s="543" t="s">
        <v>949</v>
      </c>
      <c r="N78" s="543" t="s">
        <v>949</v>
      </c>
      <c r="O78" s="543">
        <v>1</v>
      </c>
      <c r="P78" s="543">
        <v>1</v>
      </c>
      <c r="Q78" s="543">
        <v>1</v>
      </c>
      <c r="R78" s="543">
        <v>1</v>
      </c>
      <c r="S78" s="543">
        <v>1</v>
      </c>
      <c r="T78" s="543">
        <v>1</v>
      </c>
      <c r="U78" s="543">
        <v>1</v>
      </c>
      <c r="V78" s="543">
        <v>1</v>
      </c>
      <c r="W78" s="543">
        <v>1</v>
      </c>
      <c r="X78" s="543">
        <v>1</v>
      </c>
      <c r="Y78" s="543" t="s">
        <v>949</v>
      </c>
    </row>
    <row r="79" spans="3:25">
      <c r="C79" s="88" t="str">
        <f>'G-1 All Habitats'!B77</f>
        <v>Urban - Vegetated garden</v>
      </c>
      <c r="D79" s="543" t="s">
        <v>949</v>
      </c>
      <c r="E79" s="543" t="s">
        <v>949</v>
      </c>
      <c r="F79" s="543">
        <v>1</v>
      </c>
      <c r="G79" s="543">
        <v>2</v>
      </c>
      <c r="H79" s="543">
        <v>3</v>
      </c>
      <c r="I79" s="543">
        <v>4</v>
      </c>
      <c r="J79" s="543">
        <v>5</v>
      </c>
      <c r="K79" s="543" t="s">
        <v>949</v>
      </c>
      <c r="L79" s="543" t="s">
        <v>949</v>
      </c>
      <c r="M79" s="543" t="s">
        <v>949</v>
      </c>
      <c r="N79" s="543" t="s">
        <v>949</v>
      </c>
      <c r="O79" s="543">
        <v>1</v>
      </c>
      <c r="P79" s="543">
        <v>2</v>
      </c>
      <c r="Q79" s="543">
        <v>3</v>
      </c>
      <c r="R79" s="543">
        <v>5</v>
      </c>
      <c r="S79" s="543">
        <v>1</v>
      </c>
      <c r="T79" s="543">
        <v>2</v>
      </c>
      <c r="U79" s="543">
        <v>3</v>
      </c>
      <c r="V79" s="543">
        <v>1</v>
      </c>
      <c r="W79" s="543">
        <v>2</v>
      </c>
      <c r="X79" s="543">
        <v>1</v>
      </c>
      <c r="Y79" s="543" t="s">
        <v>949</v>
      </c>
    </row>
    <row r="80" spans="3:25">
      <c r="C80" s="88" t="str">
        <f>'G-1 All Habitats'!B78</f>
        <v>Wetland - Blanket bog</v>
      </c>
      <c r="D80" s="543" t="s">
        <v>949</v>
      </c>
      <c r="E80" s="543" t="s">
        <v>949</v>
      </c>
      <c r="F80" s="543">
        <v>15</v>
      </c>
      <c r="G80" s="543">
        <v>25</v>
      </c>
      <c r="H80" s="543">
        <v>30</v>
      </c>
      <c r="I80" s="543" t="s">
        <v>950</v>
      </c>
      <c r="J80" s="543" t="s">
        <v>950</v>
      </c>
      <c r="K80" s="543" t="s">
        <v>949</v>
      </c>
      <c r="L80" s="543" t="s">
        <v>949</v>
      </c>
      <c r="M80" s="543" t="s">
        <v>949</v>
      </c>
      <c r="N80" s="543" t="s">
        <v>949</v>
      </c>
      <c r="O80" s="543">
        <v>10</v>
      </c>
      <c r="P80" s="543">
        <v>20</v>
      </c>
      <c r="Q80" s="543" t="s">
        <v>950</v>
      </c>
      <c r="R80" s="543">
        <v>30</v>
      </c>
      <c r="S80" s="543">
        <v>10</v>
      </c>
      <c r="T80" s="543" t="s">
        <v>950</v>
      </c>
      <c r="U80" s="543" t="s">
        <v>950</v>
      </c>
      <c r="V80" s="543">
        <v>30</v>
      </c>
      <c r="W80" s="543" t="s">
        <v>950</v>
      </c>
      <c r="X80" s="543">
        <v>30</v>
      </c>
      <c r="Y80" s="543" t="s">
        <v>949</v>
      </c>
    </row>
    <row r="81" spans="3:25">
      <c r="C81" s="88" t="str">
        <f>'G-1 All Habitats'!B79</f>
        <v>Wetland - Depressions on Peat substrates (H7150)</v>
      </c>
      <c r="D81" s="543" t="s">
        <v>949</v>
      </c>
      <c r="E81" s="543" t="s">
        <v>949</v>
      </c>
      <c r="F81" s="543">
        <v>15</v>
      </c>
      <c r="G81" s="543">
        <v>25</v>
      </c>
      <c r="H81" s="543">
        <v>30</v>
      </c>
      <c r="I81" s="543" t="s">
        <v>950</v>
      </c>
      <c r="J81" s="543" t="s">
        <v>950</v>
      </c>
      <c r="K81" s="543" t="s">
        <v>949</v>
      </c>
      <c r="L81" s="543" t="s">
        <v>949</v>
      </c>
      <c r="M81" s="543" t="s">
        <v>949</v>
      </c>
      <c r="N81" s="543" t="s">
        <v>949</v>
      </c>
      <c r="O81" s="543">
        <v>10</v>
      </c>
      <c r="P81" s="543">
        <v>20</v>
      </c>
      <c r="Q81" s="543">
        <v>25</v>
      </c>
      <c r="R81" s="543">
        <v>30</v>
      </c>
      <c r="S81" s="543">
        <v>10</v>
      </c>
      <c r="T81" s="543">
        <v>20</v>
      </c>
      <c r="U81" s="543">
        <v>25</v>
      </c>
      <c r="V81" s="543">
        <v>10</v>
      </c>
      <c r="W81" s="543">
        <v>20</v>
      </c>
      <c r="X81" s="543">
        <v>10</v>
      </c>
      <c r="Y81" s="543" t="s">
        <v>949</v>
      </c>
    </row>
    <row r="82" spans="3:25">
      <c r="C82" s="88" t="str">
        <f>'G-1 All Habitats'!B80</f>
        <v>Wetland - Fens (upland and lowland)</v>
      </c>
      <c r="D82" s="543" t="s">
        <v>949</v>
      </c>
      <c r="E82" s="543" t="s">
        <v>949</v>
      </c>
      <c r="F82" s="543">
        <v>10</v>
      </c>
      <c r="G82" s="543">
        <v>12</v>
      </c>
      <c r="H82" s="543">
        <v>15</v>
      </c>
      <c r="I82" s="543">
        <v>25</v>
      </c>
      <c r="J82" s="543">
        <v>30</v>
      </c>
      <c r="K82" s="543" t="s">
        <v>949</v>
      </c>
      <c r="L82" s="543" t="s">
        <v>949</v>
      </c>
      <c r="M82" s="543" t="s">
        <v>949</v>
      </c>
      <c r="N82" s="543" t="s">
        <v>949</v>
      </c>
      <c r="O82" s="543">
        <v>10</v>
      </c>
      <c r="P82" s="543">
        <v>12</v>
      </c>
      <c r="Q82" s="543">
        <v>15</v>
      </c>
      <c r="R82" s="543">
        <v>18</v>
      </c>
      <c r="S82" s="543">
        <v>10</v>
      </c>
      <c r="T82" s="543">
        <v>12</v>
      </c>
      <c r="U82" s="543">
        <v>15</v>
      </c>
      <c r="V82" s="543">
        <v>10</v>
      </c>
      <c r="W82" s="543">
        <v>12</v>
      </c>
      <c r="X82" s="543">
        <v>10</v>
      </c>
      <c r="Y82" s="543" t="s">
        <v>949</v>
      </c>
    </row>
    <row r="83" spans="3:25">
      <c r="C83" s="88" t="str">
        <f>'G-1 All Habitats'!B81</f>
        <v>Wetland - Lowland raised bog</v>
      </c>
      <c r="D83" s="543" t="s">
        <v>949</v>
      </c>
      <c r="E83" s="543" t="s">
        <v>949</v>
      </c>
      <c r="F83" s="543">
        <v>15</v>
      </c>
      <c r="G83" s="543">
        <v>20</v>
      </c>
      <c r="H83" s="543">
        <v>30</v>
      </c>
      <c r="I83" s="543" t="s">
        <v>950</v>
      </c>
      <c r="J83" s="543" t="s">
        <v>950</v>
      </c>
      <c r="K83" s="543" t="s">
        <v>949</v>
      </c>
      <c r="L83" s="543" t="s">
        <v>949</v>
      </c>
      <c r="M83" s="543" t="s">
        <v>949</v>
      </c>
      <c r="N83" s="543" t="s">
        <v>949</v>
      </c>
      <c r="O83" s="543">
        <v>10</v>
      </c>
      <c r="P83" s="543">
        <v>20</v>
      </c>
      <c r="Q83" s="543">
        <v>25</v>
      </c>
      <c r="R83" s="543">
        <v>30</v>
      </c>
      <c r="S83" s="543">
        <v>10</v>
      </c>
      <c r="T83" s="543">
        <v>20</v>
      </c>
      <c r="U83" s="543">
        <v>20</v>
      </c>
      <c r="V83" s="543">
        <v>10</v>
      </c>
      <c r="W83" s="543">
        <v>15</v>
      </c>
      <c r="X83" s="543">
        <v>10</v>
      </c>
      <c r="Y83" s="543" t="s">
        <v>949</v>
      </c>
    </row>
    <row r="84" spans="3:25">
      <c r="C84" s="88" t="str">
        <f>'G-1 All Habitats'!B82</f>
        <v>Wetland - Oceanic Valley Mire[1] (D2.1)</v>
      </c>
      <c r="D84" s="543" t="s">
        <v>949</v>
      </c>
      <c r="E84" s="543" t="s">
        <v>949</v>
      </c>
      <c r="F84" s="543">
        <v>15</v>
      </c>
      <c r="G84" s="543">
        <v>20</v>
      </c>
      <c r="H84" s="543">
        <v>30</v>
      </c>
      <c r="I84" s="543" t="s">
        <v>950</v>
      </c>
      <c r="J84" s="543" t="s">
        <v>950</v>
      </c>
      <c r="K84" s="543" t="s">
        <v>949</v>
      </c>
      <c r="L84" s="543" t="s">
        <v>949</v>
      </c>
      <c r="M84" s="543" t="s">
        <v>949</v>
      </c>
      <c r="N84" s="543" t="s">
        <v>949</v>
      </c>
      <c r="O84" s="543">
        <v>10</v>
      </c>
      <c r="P84" s="543">
        <v>20</v>
      </c>
      <c r="Q84" s="543">
        <v>25</v>
      </c>
      <c r="R84" s="543">
        <v>30</v>
      </c>
      <c r="S84" s="543">
        <v>10</v>
      </c>
      <c r="T84" s="543">
        <v>20</v>
      </c>
      <c r="U84" s="543">
        <v>20</v>
      </c>
      <c r="V84" s="543">
        <v>10</v>
      </c>
      <c r="W84" s="543">
        <v>15</v>
      </c>
      <c r="X84" s="543">
        <v>10</v>
      </c>
      <c r="Y84" s="543" t="s">
        <v>949</v>
      </c>
    </row>
    <row r="85" spans="3:25">
      <c r="C85" s="88" t="str">
        <f>'G-1 All Habitats'!B83</f>
        <v>Wetland - Purple moor grass and rush pastures</v>
      </c>
      <c r="D85" s="543" t="s">
        <v>949</v>
      </c>
      <c r="E85" s="543" t="s">
        <v>949</v>
      </c>
      <c r="F85" s="543">
        <v>10</v>
      </c>
      <c r="G85" s="543">
        <v>12</v>
      </c>
      <c r="H85" s="543">
        <v>15</v>
      </c>
      <c r="I85" s="543">
        <v>17</v>
      </c>
      <c r="J85" s="543">
        <v>20</v>
      </c>
      <c r="K85" s="543" t="s">
        <v>949</v>
      </c>
      <c r="L85" s="543" t="s">
        <v>949</v>
      </c>
      <c r="M85" s="543" t="s">
        <v>949</v>
      </c>
      <c r="N85" s="543" t="s">
        <v>949</v>
      </c>
      <c r="O85" s="543">
        <v>10</v>
      </c>
      <c r="P85" s="543">
        <v>10</v>
      </c>
      <c r="Q85" s="543">
        <v>15</v>
      </c>
      <c r="R85" s="543">
        <v>20</v>
      </c>
      <c r="S85" s="543">
        <v>10</v>
      </c>
      <c r="T85" s="543">
        <v>15</v>
      </c>
      <c r="U85" s="543">
        <v>20</v>
      </c>
      <c r="V85" s="543">
        <v>10</v>
      </c>
      <c r="W85" s="543">
        <v>15</v>
      </c>
      <c r="X85" s="543">
        <v>10</v>
      </c>
      <c r="Y85" s="543" t="s">
        <v>949</v>
      </c>
    </row>
    <row r="86" spans="3:25">
      <c r="C86" s="88" t="str">
        <f>'G-1 All Habitats'!B84</f>
        <v>Wetland - Reedbeds</v>
      </c>
      <c r="D86" s="543" t="s">
        <v>949</v>
      </c>
      <c r="E86" s="543" t="s">
        <v>949</v>
      </c>
      <c r="F86" s="543">
        <v>5</v>
      </c>
      <c r="G86" s="543">
        <v>7</v>
      </c>
      <c r="H86" s="543">
        <v>10</v>
      </c>
      <c r="I86" s="543">
        <v>12</v>
      </c>
      <c r="J86" s="543">
        <v>15</v>
      </c>
      <c r="K86" s="543" t="s">
        <v>949</v>
      </c>
      <c r="L86" s="543" t="s">
        <v>949</v>
      </c>
      <c r="M86" s="543" t="s">
        <v>949</v>
      </c>
      <c r="N86" s="543" t="s">
        <v>949</v>
      </c>
      <c r="O86" s="543">
        <v>5</v>
      </c>
      <c r="P86" s="543">
        <v>7</v>
      </c>
      <c r="Q86" s="543">
        <v>10</v>
      </c>
      <c r="R86" s="543">
        <v>12</v>
      </c>
      <c r="S86" s="543">
        <v>5</v>
      </c>
      <c r="T86" s="543">
        <v>7</v>
      </c>
      <c r="U86" s="543">
        <v>10</v>
      </c>
      <c r="V86" s="543">
        <v>5</v>
      </c>
      <c r="W86" s="543">
        <v>7</v>
      </c>
      <c r="X86" s="543">
        <v>5</v>
      </c>
      <c r="Y86" s="543" t="s">
        <v>949</v>
      </c>
    </row>
    <row r="87" spans="3:25">
      <c r="C87" s="88" t="str">
        <f>'G-1 All Habitats'!B85</f>
        <v>Wetland - Transition mires and quaking bogs (H7140)</v>
      </c>
      <c r="D87" s="543" t="s">
        <v>949</v>
      </c>
      <c r="E87" s="543" t="s">
        <v>949</v>
      </c>
      <c r="F87" s="543">
        <v>15</v>
      </c>
      <c r="G87" s="543">
        <v>25</v>
      </c>
      <c r="H87" s="543">
        <v>30</v>
      </c>
      <c r="I87" s="543" t="s">
        <v>950</v>
      </c>
      <c r="J87" s="543" t="s">
        <v>950</v>
      </c>
      <c r="K87" s="543" t="s">
        <v>949</v>
      </c>
      <c r="L87" s="543" t="s">
        <v>949</v>
      </c>
      <c r="M87" s="543" t="s">
        <v>949</v>
      </c>
      <c r="N87" s="543" t="s">
        <v>949</v>
      </c>
      <c r="O87" s="543">
        <v>10</v>
      </c>
      <c r="P87" s="543">
        <v>20</v>
      </c>
      <c r="Q87" s="543">
        <v>25</v>
      </c>
      <c r="R87" s="543">
        <v>30</v>
      </c>
      <c r="S87" s="543">
        <v>10</v>
      </c>
      <c r="T87" s="543">
        <v>20</v>
      </c>
      <c r="U87" s="543">
        <v>20</v>
      </c>
      <c r="V87" s="543">
        <v>10</v>
      </c>
      <c r="W87" s="543">
        <v>15</v>
      </c>
      <c r="X87" s="543">
        <v>10</v>
      </c>
      <c r="Y87" s="543" t="s">
        <v>949</v>
      </c>
    </row>
    <row r="88" spans="3:25">
      <c r="C88" s="88" t="str">
        <f>'G-1 All Habitats'!B86</f>
        <v>Woodland and forest - Felled</v>
      </c>
      <c r="D88" s="543" t="s">
        <v>949</v>
      </c>
      <c r="E88" s="543" t="s">
        <v>949</v>
      </c>
      <c r="F88" s="543" t="s">
        <v>949</v>
      </c>
      <c r="G88" s="543" t="s">
        <v>949</v>
      </c>
      <c r="H88" s="543" t="s">
        <v>949</v>
      </c>
      <c r="I88" s="543" t="s">
        <v>949</v>
      </c>
      <c r="J88" s="543" t="s">
        <v>949</v>
      </c>
      <c r="K88" s="543" t="s">
        <v>949</v>
      </c>
      <c r="L88" s="543" t="s">
        <v>949</v>
      </c>
      <c r="M88" s="543" t="s">
        <v>949</v>
      </c>
      <c r="N88" s="543" t="s">
        <v>949</v>
      </c>
      <c r="O88" s="543" t="s">
        <v>949</v>
      </c>
      <c r="P88" s="543" t="s">
        <v>949</v>
      </c>
      <c r="Q88" s="543" t="s">
        <v>949</v>
      </c>
      <c r="R88" s="543" t="s">
        <v>949</v>
      </c>
      <c r="S88" s="543" t="s">
        <v>949</v>
      </c>
      <c r="T88" s="543" t="s">
        <v>949</v>
      </c>
      <c r="U88" s="543" t="s">
        <v>949</v>
      </c>
      <c r="V88" s="543" t="s">
        <v>949</v>
      </c>
      <c r="W88" s="543" t="s">
        <v>949</v>
      </c>
      <c r="X88" s="543" t="s">
        <v>949</v>
      </c>
      <c r="Y88" s="543" t="s">
        <v>949</v>
      </c>
    </row>
    <row r="89" spans="3:25">
      <c r="C89" s="88" t="str">
        <f>'G-1 All Habitats'!B87</f>
        <v>Woodland and forest - Lowland beech and yew woodland</v>
      </c>
      <c r="D89" s="543" t="s">
        <v>949</v>
      </c>
      <c r="E89" s="543" t="s">
        <v>949</v>
      </c>
      <c r="F89" s="543">
        <v>10</v>
      </c>
      <c r="G89" s="543">
        <v>25</v>
      </c>
      <c r="H89" s="543" t="s">
        <v>950</v>
      </c>
      <c r="I89" s="543" t="s">
        <v>950</v>
      </c>
      <c r="J89" s="543" t="s">
        <v>950</v>
      </c>
      <c r="K89" s="543" t="s">
        <v>949</v>
      </c>
      <c r="L89" s="543" t="s">
        <v>949</v>
      </c>
      <c r="M89" s="543" t="s">
        <v>949</v>
      </c>
      <c r="N89" s="543" t="s">
        <v>949</v>
      </c>
      <c r="O89" s="543">
        <v>25</v>
      </c>
      <c r="P89" s="543" t="s">
        <v>950</v>
      </c>
      <c r="Q89" s="543" t="s">
        <v>950</v>
      </c>
      <c r="R89" s="543" t="s">
        <v>950</v>
      </c>
      <c r="S89" s="543" t="s">
        <v>950</v>
      </c>
      <c r="T89" s="543" t="s">
        <v>950</v>
      </c>
      <c r="U89" s="543" t="s">
        <v>950</v>
      </c>
      <c r="V89" s="543" t="s">
        <v>950</v>
      </c>
      <c r="W89" s="543" t="s">
        <v>950</v>
      </c>
      <c r="X89" s="543" t="s">
        <v>950</v>
      </c>
      <c r="Y89" s="543" t="s">
        <v>949</v>
      </c>
    </row>
    <row r="90" spans="3:25">
      <c r="C90" s="88" t="str">
        <f>'G-1 All Habitats'!B88</f>
        <v>Woodland and forest - Lowland mixed deciduous woodland</v>
      </c>
      <c r="D90" s="543" t="s">
        <v>949</v>
      </c>
      <c r="E90" s="543" t="s">
        <v>949</v>
      </c>
      <c r="F90" s="543">
        <v>10</v>
      </c>
      <c r="G90" s="543">
        <v>25</v>
      </c>
      <c r="H90" s="543" t="s">
        <v>950</v>
      </c>
      <c r="I90" s="543" t="s">
        <v>950</v>
      </c>
      <c r="J90" s="543" t="s">
        <v>950</v>
      </c>
      <c r="K90" s="543" t="s">
        <v>949</v>
      </c>
      <c r="L90" s="543" t="s">
        <v>949</v>
      </c>
      <c r="M90" s="543" t="s">
        <v>949</v>
      </c>
      <c r="N90" s="543" t="s">
        <v>949</v>
      </c>
      <c r="O90" s="543">
        <v>10</v>
      </c>
      <c r="P90" s="543">
        <v>20</v>
      </c>
      <c r="Q90" s="543">
        <v>25</v>
      </c>
      <c r="R90" s="543" t="s">
        <v>950</v>
      </c>
      <c r="S90" s="543">
        <v>10</v>
      </c>
      <c r="T90" s="543">
        <v>20</v>
      </c>
      <c r="U90" s="543">
        <v>25</v>
      </c>
      <c r="V90" s="543">
        <v>10</v>
      </c>
      <c r="W90" s="543">
        <v>20</v>
      </c>
      <c r="X90" s="543">
        <v>10</v>
      </c>
      <c r="Y90" s="543" t="s">
        <v>949</v>
      </c>
    </row>
    <row r="91" spans="3:25">
      <c r="C91" s="88" t="str">
        <f>'G-1 All Habitats'!B89</f>
        <v>Woodland and forest - Native pine woodlands</v>
      </c>
      <c r="D91" s="543" t="s">
        <v>949</v>
      </c>
      <c r="E91" s="543" t="s">
        <v>949</v>
      </c>
      <c r="F91" s="543">
        <v>25</v>
      </c>
      <c r="G91" s="543">
        <v>30</v>
      </c>
      <c r="H91" s="543" t="s">
        <v>950</v>
      </c>
      <c r="I91" s="543" t="s">
        <v>950</v>
      </c>
      <c r="J91" s="543" t="s">
        <v>950</v>
      </c>
      <c r="K91" s="543" t="s">
        <v>949</v>
      </c>
      <c r="L91" s="543" t="s">
        <v>949</v>
      </c>
      <c r="M91" s="543" t="s">
        <v>949</v>
      </c>
      <c r="N91" s="543" t="s">
        <v>949</v>
      </c>
      <c r="O91" s="543">
        <v>10</v>
      </c>
      <c r="P91" s="543">
        <v>15</v>
      </c>
      <c r="Q91" s="543">
        <v>20</v>
      </c>
      <c r="R91" s="543" t="s">
        <v>950</v>
      </c>
      <c r="S91" s="543">
        <v>15</v>
      </c>
      <c r="T91" s="543">
        <v>20</v>
      </c>
      <c r="U91" s="543">
        <v>25</v>
      </c>
      <c r="V91" s="543">
        <v>10</v>
      </c>
      <c r="W91" s="543">
        <v>15</v>
      </c>
      <c r="X91" s="543">
        <v>10</v>
      </c>
      <c r="Y91" s="543" t="s">
        <v>949</v>
      </c>
    </row>
    <row r="92" spans="3:25">
      <c r="C92" s="88" t="str">
        <f>'G-1 All Habitats'!B90</f>
        <v>Woodland and forest - Other coniferous woodland</v>
      </c>
      <c r="D92" s="543" t="s">
        <v>949</v>
      </c>
      <c r="E92" s="543" t="s">
        <v>949</v>
      </c>
      <c r="F92" s="543" t="s">
        <v>949</v>
      </c>
      <c r="G92" s="543" t="s">
        <v>949</v>
      </c>
      <c r="H92" s="543" t="s">
        <v>949</v>
      </c>
      <c r="I92" s="543" t="s">
        <v>949</v>
      </c>
      <c r="J92" s="543" t="s">
        <v>949</v>
      </c>
      <c r="K92" s="543" t="s">
        <v>949</v>
      </c>
      <c r="L92" s="543" t="s">
        <v>949</v>
      </c>
      <c r="M92" s="543" t="s">
        <v>949</v>
      </c>
      <c r="N92" s="543" t="s">
        <v>949</v>
      </c>
      <c r="O92" s="543">
        <v>5</v>
      </c>
      <c r="P92" s="543">
        <v>25</v>
      </c>
      <c r="Q92" s="543" t="s">
        <v>950</v>
      </c>
      <c r="R92" s="543" t="s">
        <v>950</v>
      </c>
      <c r="S92" s="543">
        <v>20</v>
      </c>
      <c r="T92" s="543">
        <v>15</v>
      </c>
      <c r="U92" s="543">
        <v>25</v>
      </c>
      <c r="V92" s="543">
        <v>5</v>
      </c>
      <c r="W92" s="543">
        <v>7</v>
      </c>
      <c r="X92" s="543">
        <v>10</v>
      </c>
      <c r="Y92" s="543" t="s">
        <v>949</v>
      </c>
    </row>
    <row r="93" spans="3:25">
      <c r="C93" s="88" t="str">
        <f>'G-1 All Habitats'!B91</f>
        <v>Woodland and forest - Other Scot's Pine woodland</v>
      </c>
      <c r="D93" s="543" t="s">
        <v>949</v>
      </c>
      <c r="E93" s="543" t="s">
        <v>949</v>
      </c>
      <c r="F93" s="543">
        <v>20</v>
      </c>
      <c r="G93" s="543">
        <v>25</v>
      </c>
      <c r="H93" s="543" t="s">
        <v>950</v>
      </c>
      <c r="I93" s="543" t="s">
        <v>950</v>
      </c>
      <c r="J93" s="543" t="s">
        <v>950</v>
      </c>
      <c r="K93" s="543" t="s">
        <v>949</v>
      </c>
      <c r="L93" s="543" t="s">
        <v>949</v>
      </c>
      <c r="M93" s="543" t="s">
        <v>949</v>
      </c>
      <c r="N93" s="543" t="s">
        <v>949</v>
      </c>
      <c r="O93" s="543">
        <v>10</v>
      </c>
      <c r="P93" s="543">
        <v>15</v>
      </c>
      <c r="Q93" s="543">
        <v>20</v>
      </c>
      <c r="R93" s="543" t="s">
        <v>950</v>
      </c>
      <c r="S93" s="543">
        <v>15</v>
      </c>
      <c r="T93" s="543">
        <v>20</v>
      </c>
      <c r="U93" s="543">
        <v>25</v>
      </c>
      <c r="V93" s="543">
        <v>10</v>
      </c>
      <c r="W93" s="543">
        <v>15</v>
      </c>
      <c r="X93" s="543">
        <v>10</v>
      </c>
      <c r="Y93" s="543" t="s">
        <v>949</v>
      </c>
    </row>
    <row r="94" spans="3:25">
      <c r="C94" s="88" t="str">
        <f>'G-1 All Habitats'!B92</f>
        <v>Woodland and forest - Other woodland; broadleaved</v>
      </c>
      <c r="D94" s="543" t="s">
        <v>949</v>
      </c>
      <c r="E94" s="543" t="s">
        <v>949</v>
      </c>
      <c r="F94" s="543">
        <v>5</v>
      </c>
      <c r="G94" s="543">
        <v>10</v>
      </c>
      <c r="H94" s="543">
        <v>15</v>
      </c>
      <c r="I94" s="543">
        <v>20</v>
      </c>
      <c r="J94" s="543">
        <v>25</v>
      </c>
      <c r="K94" s="543" t="s">
        <v>949</v>
      </c>
      <c r="L94" s="543" t="s">
        <v>949</v>
      </c>
      <c r="M94" s="543" t="s">
        <v>949</v>
      </c>
      <c r="N94" s="543" t="s">
        <v>949</v>
      </c>
      <c r="O94" s="543">
        <v>5</v>
      </c>
      <c r="P94" s="543">
        <v>10</v>
      </c>
      <c r="Q94" s="543">
        <v>15</v>
      </c>
      <c r="R94" s="543">
        <v>20</v>
      </c>
      <c r="S94" s="543">
        <v>5</v>
      </c>
      <c r="T94" s="543">
        <v>10</v>
      </c>
      <c r="U94" s="543">
        <v>15</v>
      </c>
      <c r="V94" s="543">
        <v>5</v>
      </c>
      <c r="W94" s="543">
        <v>10</v>
      </c>
      <c r="X94" s="543">
        <v>5</v>
      </c>
      <c r="Y94" s="543" t="s">
        <v>949</v>
      </c>
    </row>
    <row r="95" spans="3:25">
      <c r="C95" s="88" t="str">
        <f>'G-1 All Habitats'!B93</f>
        <v>Woodland and forest - Other woodland; mixed</v>
      </c>
      <c r="D95" s="543" t="s">
        <v>949</v>
      </c>
      <c r="E95" s="543" t="s">
        <v>949</v>
      </c>
      <c r="F95" s="543">
        <v>5</v>
      </c>
      <c r="G95" s="543">
        <v>10</v>
      </c>
      <c r="H95" s="543">
        <v>15</v>
      </c>
      <c r="I95" s="543">
        <v>20</v>
      </c>
      <c r="J95" s="543">
        <v>25</v>
      </c>
      <c r="K95" s="543" t="s">
        <v>949</v>
      </c>
      <c r="L95" s="543" t="s">
        <v>949</v>
      </c>
      <c r="M95" s="543" t="s">
        <v>949</v>
      </c>
      <c r="N95" s="543" t="s">
        <v>949</v>
      </c>
      <c r="O95" s="543">
        <v>5</v>
      </c>
      <c r="P95" s="543">
        <v>10</v>
      </c>
      <c r="Q95" s="543">
        <v>15</v>
      </c>
      <c r="R95" s="543">
        <v>20</v>
      </c>
      <c r="S95" s="543">
        <v>5</v>
      </c>
      <c r="T95" s="543">
        <v>10</v>
      </c>
      <c r="U95" s="543">
        <v>15</v>
      </c>
      <c r="V95" s="543">
        <v>5</v>
      </c>
      <c r="W95" s="543">
        <v>10</v>
      </c>
      <c r="X95" s="543">
        <v>5</v>
      </c>
      <c r="Y95" s="543" t="s">
        <v>949</v>
      </c>
    </row>
    <row r="96" spans="3:25">
      <c r="C96" s="88" t="str">
        <f>'G-1 All Habitats'!B94</f>
        <v>Woodland and forest - Upland birchwoods</v>
      </c>
      <c r="D96" s="543" t="s">
        <v>949</v>
      </c>
      <c r="E96" s="543" t="s">
        <v>949</v>
      </c>
      <c r="F96" s="543">
        <v>10</v>
      </c>
      <c r="G96" s="543">
        <v>20</v>
      </c>
      <c r="H96" s="543">
        <v>25</v>
      </c>
      <c r="I96" s="543">
        <v>30</v>
      </c>
      <c r="J96" s="543" t="s">
        <v>950</v>
      </c>
      <c r="K96" s="543" t="s">
        <v>949</v>
      </c>
      <c r="L96" s="543" t="s">
        <v>949</v>
      </c>
      <c r="M96" s="543" t="s">
        <v>949</v>
      </c>
      <c r="N96" s="543" t="s">
        <v>949</v>
      </c>
      <c r="O96" s="543">
        <v>10</v>
      </c>
      <c r="P96" s="543">
        <v>15</v>
      </c>
      <c r="Q96" s="543">
        <v>20</v>
      </c>
      <c r="R96" s="543" t="s">
        <v>950</v>
      </c>
      <c r="S96" s="543">
        <v>15</v>
      </c>
      <c r="T96" s="543">
        <v>20</v>
      </c>
      <c r="U96" s="543">
        <v>25</v>
      </c>
      <c r="V96" s="543">
        <v>10</v>
      </c>
      <c r="W96" s="543">
        <v>15</v>
      </c>
      <c r="X96" s="543">
        <v>10</v>
      </c>
      <c r="Y96" s="543" t="s">
        <v>949</v>
      </c>
    </row>
    <row r="97" spans="3:25">
      <c r="C97" s="88" t="str">
        <f>'G-1 All Habitats'!B95</f>
        <v>Woodland and forest - Upland mixed ashwoods</v>
      </c>
      <c r="D97" s="543" t="s">
        <v>949</v>
      </c>
      <c r="E97" s="543" t="s">
        <v>949</v>
      </c>
      <c r="F97" s="543">
        <v>10</v>
      </c>
      <c r="G97" s="543">
        <v>25</v>
      </c>
      <c r="H97" s="543" t="s">
        <v>950</v>
      </c>
      <c r="I97" s="543" t="s">
        <v>950</v>
      </c>
      <c r="J97" s="543" t="s">
        <v>950</v>
      </c>
      <c r="K97" s="543" t="s">
        <v>949</v>
      </c>
      <c r="L97" s="543" t="s">
        <v>949</v>
      </c>
      <c r="M97" s="543" t="s">
        <v>949</v>
      </c>
      <c r="N97" s="543" t="s">
        <v>949</v>
      </c>
      <c r="O97" s="543">
        <v>10</v>
      </c>
      <c r="P97" s="543">
        <v>15</v>
      </c>
      <c r="Q97" s="543">
        <v>20</v>
      </c>
      <c r="R97" s="543" t="s">
        <v>950</v>
      </c>
      <c r="S97" s="543">
        <v>15</v>
      </c>
      <c r="T97" s="543">
        <v>20</v>
      </c>
      <c r="U97" s="543">
        <v>25</v>
      </c>
      <c r="V97" s="543">
        <v>10</v>
      </c>
      <c r="W97" s="543">
        <v>15</v>
      </c>
      <c r="X97" s="543">
        <v>10</v>
      </c>
      <c r="Y97" s="543" t="s">
        <v>949</v>
      </c>
    </row>
    <row r="98" spans="3:25">
      <c r="C98" s="88" t="str">
        <f>'G-1 All Habitats'!B96</f>
        <v>Woodland and forest - Upland oakwood</v>
      </c>
      <c r="D98" s="543" t="s">
        <v>949</v>
      </c>
      <c r="E98" s="543" t="s">
        <v>949</v>
      </c>
      <c r="F98" s="543">
        <v>10</v>
      </c>
      <c r="G98" s="543">
        <v>25</v>
      </c>
      <c r="H98" s="543" t="s">
        <v>950</v>
      </c>
      <c r="I98" s="543" t="s">
        <v>950</v>
      </c>
      <c r="J98" s="543" t="s">
        <v>950</v>
      </c>
      <c r="K98" s="543" t="s">
        <v>949</v>
      </c>
      <c r="L98" s="543" t="s">
        <v>949</v>
      </c>
      <c r="M98" s="543" t="s">
        <v>949</v>
      </c>
      <c r="N98" s="543" t="s">
        <v>949</v>
      </c>
      <c r="O98" s="543">
        <v>25</v>
      </c>
      <c r="P98" s="543" t="s">
        <v>950</v>
      </c>
      <c r="Q98" s="543" t="s">
        <v>950</v>
      </c>
      <c r="R98" s="543" t="s">
        <v>950</v>
      </c>
      <c r="S98" s="543" t="s">
        <v>950</v>
      </c>
      <c r="T98" s="543" t="s">
        <v>950</v>
      </c>
      <c r="U98" s="543" t="s">
        <v>950</v>
      </c>
      <c r="V98" s="543" t="s">
        <v>950</v>
      </c>
      <c r="W98" s="543" t="s">
        <v>950</v>
      </c>
      <c r="X98" s="543" t="s">
        <v>950</v>
      </c>
      <c r="Y98" s="543" t="s">
        <v>949</v>
      </c>
    </row>
    <row r="99" spans="3:25">
      <c r="C99" s="88" t="str">
        <f>'G-1 All Habitats'!B97</f>
        <v>Woodland and forest - Wet woodland</v>
      </c>
      <c r="D99" s="543" t="s">
        <v>949</v>
      </c>
      <c r="E99" s="543" t="s">
        <v>949</v>
      </c>
      <c r="F99" s="543">
        <v>10</v>
      </c>
      <c r="G99" s="543">
        <v>20</v>
      </c>
      <c r="H99" s="543">
        <v>25</v>
      </c>
      <c r="I99" s="543">
        <v>30</v>
      </c>
      <c r="J99" s="543" t="s">
        <v>950</v>
      </c>
      <c r="K99" s="543" t="s">
        <v>949</v>
      </c>
      <c r="L99" s="543" t="s">
        <v>949</v>
      </c>
      <c r="M99" s="543" t="s">
        <v>949</v>
      </c>
      <c r="N99" s="543" t="s">
        <v>949</v>
      </c>
      <c r="O99" s="543">
        <v>10</v>
      </c>
      <c r="P99" s="543">
        <v>10</v>
      </c>
      <c r="Q99" s="543">
        <v>15</v>
      </c>
      <c r="R99" s="543" t="s">
        <v>950</v>
      </c>
      <c r="S99" s="543">
        <v>15</v>
      </c>
      <c r="T99" s="543">
        <v>20</v>
      </c>
      <c r="U99" s="543">
        <v>25</v>
      </c>
      <c r="V99" s="543">
        <v>10</v>
      </c>
      <c r="W99" s="543">
        <v>15</v>
      </c>
      <c r="X99" s="543">
        <v>10</v>
      </c>
      <c r="Y99" s="543" t="s">
        <v>949</v>
      </c>
    </row>
    <row r="100" spans="3:25">
      <c r="C100" s="88" t="str">
        <f>'G-1 All Habitats'!B98</f>
        <v>Woodland and forest - Wood-pasture and parkland</v>
      </c>
      <c r="D100" s="543" t="s">
        <v>949</v>
      </c>
      <c r="E100" s="543" t="s">
        <v>949</v>
      </c>
      <c r="F100" s="543">
        <v>10</v>
      </c>
      <c r="G100" s="543">
        <v>25</v>
      </c>
      <c r="H100" s="543" t="s">
        <v>950</v>
      </c>
      <c r="I100" s="543" t="s">
        <v>950</v>
      </c>
      <c r="J100" s="543" t="s">
        <v>950</v>
      </c>
      <c r="K100" s="543" t="s">
        <v>949</v>
      </c>
      <c r="L100" s="543" t="s">
        <v>949</v>
      </c>
      <c r="M100" s="543" t="s">
        <v>949</v>
      </c>
      <c r="N100" s="543" t="s">
        <v>949</v>
      </c>
      <c r="O100" s="543">
        <v>25</v>
      </c>
      <c r="P100" s="543" t="s">
        <v>950</v>
      </c>
      <c r="Q100" s="543" t="s">
        <v>950</v>
      </c>
      <c r="R100" s="543" t="s">
        <v>950</v>
      </c>
      <c r="S100" s="543" t="s">
        <v>950</v>
      </c>
      <c r="T100" s="543" t="s">
        <v>950</v>
      </c>
      <c r="U100" s="543" t="s">
        <v>950</v>
      </c>
      <c r="V100" s="543" t="s">
        <v>950</v>
      </c>
      <c r="W100" s="543" t="s">
        <v>950</v>
      </c>
      <c r="X100" s="543" t="s">
        <v>950</v>
      </c>
      <c r="Y100" s="543" t="s">
        <v>949</v>
      </c>
    </row>
    <row r="101" spans="3:25">
      <c r="C101" s="88" t="str">
        <f>'G-1 All Habitats'!B99</f>
        <v>Coastal lagoons - Coastal lagoons</v>
      </c>
      <c r="D101" s="543" t="s">
        <v>949</v>
      </c>
      <c r="E101" s="543" t="s">
        <v>949</v>
      </c>
      <c r="F101" s="543" t="s">
        <v>949</v>
      </c>
      <c r="G101" s="543" t="s">
        <v>949</v>
      </c>
      <c r="H101" s="543" t="s">
        <v>949</v>
      </c>
      <c r="I101" s="543" t="s">
        <v>949</v>
      </c>
      <c r="J101" s="543" t="s">
        <v>949</v>
      </c>
      <c r="K101" s="543" t="s">
        <v>949</v>
      </c>
      <c r="L101" s="543" t="s">
        <v>949</v>
      </c>
      <c r="M101" s="543" t="s">
        <v>949</v>
      </c>
      <c r="N101" s="543" t="s">
        <v>949</v>
      </c>
      <c r="O101" s="543">
        <v>1</v>
      </c>
      <c r="P101" s="543">
        <v>4</v>
      </c>
      <c r="Q101" s="543">
        <v>8</v>
      </c>
      <c r="R101" s="543">
        <v>12</v>
      </c>
      <c r="S101" s="543">
        <v>3</v>
      </c>
      <c r="T101" s="543">
        <v>7</v>
      </c>
      <c r="U101" s="543">
        <v>11</v>
      </c>
      <c r="V101" s="543">
        <v>4</v>
      </c>
      <c r="W101" s="543">
        <v>8</v>
      </c>
      <c r="X101" s="543">
        <v>4</v>
      </c>
      <c r="Y101" s="543" t="s">
        <v>949</v>
      </c>
    </row>
    <row r="102" spans="3:25">
      <c r="C102" s="88" t="str">
        <f>'G-1 All Habitats'!B100</f>
        <v>Rocky shore - High energy littoral rock</v>
      </c>
      <c r="D102" s="543" t="s">
        <v>949</v>
      </c>
      <c r="E102" s="543" t="s">
        <v>949</v>
      </c>
      <c r="F102" s="543" t="s">
        <v>949</v>
      </c>
      <c r="G102" s="543" t="s">
        <v>949</v>
      </c>
      <c r="H102" s="543" t="s">
        <v>949</v>
      </c>
      <c r="I102" s="543" t="s">
        <v>949</v>
      </c>
      <c r="J102" s="543" t="s">
        <v>949</v>
      </c>
      <c r="K102" s="543" t="s">
        <v>949</v>
      </c>
      <c r="L102" s="543" t="s">
        <v>949</v>
      </c>
      <c r="M102" s="543" t="s">
        <v>949</v>
      </c>
      <c r="N102" s="543" t="s">
        <v>949</v>
      </c>
      <c r="O102" s="543">
        <v>2</v>
      </c>
      <c r="P102" s="543">
        <v>4</v>
      </c>
      <c r="Q102" s="543">
        <v>6</v>
      </c>
      <c r="R102" s="543">
        <v>10</v>
      </c>
      <c r="S102" s="543">
        <v>2</v>
      </c>
      <c r="T102" s="543">
        <v>4</v>
      </c>
      <c r="U102" s="543">
        <v>8</v>
      </c>
      <c r="V102" s="543">
        <v>2</v>
      </c>
      <c r="W102" s="543">
        <v>6</v>
      </c>
      <c r="X102" s="543">
        <v>4</v>
      </c>
      <c r="Y102" s="543" t="s">
        <v>949</v>
      </c>
    </row>
    <row r="103" spans="3:25">
      <c r="C103" s="88" t="str">
        <f>'G-1 All Habitats'!B101</f>
        <v>Rocky shore - High energy littoral rock - on peat, clay or chalk</v>
      </c>
      <c r="D103" s="543" t="s">
        <v>949</v>
      </c>
      <c r="E103" s="543" t="s">
        <v>949</v>
      </c>
      <c r="F103" s="543" t="s">
        <v>949</v>
      </c>
      <c r="G103" s="543" t="s">
        <v>949</v>
      </c>
      <c r="H103" s="543" t="s">
        <v>949</v>
      </c>
      <c r="I103" s="543" t="s">
        <v>949</v>
      </c>
      <c r="J103" s="543" t="s">
        <v>949</v>
      </c>
      <c r="K103" s="543" t="s">
        <v>949</v>
      </c>
      <c r="L103" s="543" t="s">
        <v>949</v>
      </c>
      <c r="M103" s="543" t="s">
        <v>949</v>
      </c>
      <c r="N103" s="543" t="s">
        <v>949</v>
      </c>
      <c r="O103" s="543">
        <v>2</v>
      </c>
      <c r="P103" s="543">
        <v>4</v>
      </c>
      <c r="Q103" s="543">
        <v>6</v>
      </c>
      <c r="R103" s="543">
        <v>10</v>
      </c>
      <c r="S103" s="543">
        <v>2</v>
      </c>
      <c r="T103" s="543">
        <v>4</v>
      </c>
      <c r="U103" s="543">
        <v>8</v>
      </c>
      <c r="V103" s="543">
        <v>2</v>
      </c>
      <c r="W103" s="543">
        <v>6</v>
      </c>
      <c r="X103" s="543">
        <v>4</v>
      </c>
      <c r="Y103" s="543" t="s">
        <v>949</v>
      </c>
    </row>
    <row r="104" spans="3:25">
      <c r="C104" s="88" t="str">
        <f>'G-1 All Habitats'!B102</f>
        <v>Rocky shore - Moderate energy littoral rock</v>
      </c>
      <c r="D104" s="543" t="s">
        <v>949</v>
      </c>
      <c r="E104" s="543" t="s">
        <v>949</v>
      </c>
      <c r="F104" s="543" t="s">
        <v>949</v>
      </c>
      <c r="G104" s="543" t="s">
        <v>949</v>
      </c>
      <c r="H104" s="543" t="s">
        <v>949</v>
      </c>
      <c r="I104" s="543" t="s">
        <v>949</v>
      </c>
      <c r="J104" s="543" t="s">
        <v>949</v>
      </c>
      <c r="K104" s="543" t="s">
        <v>949</v>
      </c>
      <c r="L104" s="543" t="s">
        <v>949</v>
      </c>
      <c r="M104" s="543" t="s">
        <v>949</v>
      </c>
      <c r="N104" s="543" t="s">
        <v>949</v>
      </c>
      <c r="O104" s="543">
        <v>2</v>
      </c>
      <c r="P104" s="543">
        <v>4</v>
      </c>
      <c r="Q104" s="543">
        <v>6</v>
      </c>
      <c r="R104" s="543">
        <v>11</v>
      </c>
      <c r="S104" s="543">
        <v>2</v>
      </c>
      <c r="T104" s="543">
        <v>4</v>
      </c>
      <c r="U104" s="543">
        <v>9</v>
      </c>
      <c r="V104" s="543">
        <v>2</v>
      </c>
      <c r="W104" s="543">
        <v>7</v>
      </c>
      <c r="X104" s="543">
        <v>5</v>
      </c>
      <c r="Y104" s="543" t="s">
        <v>949</v>
      </c>
    </row>
    <row r="105" spans="3:25">
      <c r="C105" s="88" t="str">
        <f>'G-1 All Habitats'!B103</f>
        <v>Rocky shore - Moderate energy littoral rock - on peat, clay or chalk</v>
      </c>
      <c r="D105" s="543" t="s">
        <v>949</v>
      </c>
      <c r="E105" s="543" t="s">
        <v>949</v>
      </c>
      <c r="F105" s="543" t="s">
        <v>949</v>
      </c>
      <c r="G105" s="543" t="s">
        <v>949</v>
      </c>
      <c r="H105" s="543" t="s">
        <v>949</v>
      </c>
      <c r="I105" s="543" t="s">
        <v>949</v>
      </c>
      <c r="J105" s="543" t="s">
        <v>949</v>
      </c>
      <c r="K105" s="543" t="s">
        <v>949</v>
      </c>
      <c r="L105" s="543" t="s">
        <v>949</v>
      </c>
      <c r="M105" s="543" t="s">
        <v>949</v>
      </c>
      <c r="N105" s="543" t="s">
        <v>949</v>
      </c>
      <c r="O105" s="543">
        <v>2</v>
      </c>
      <c r="P105" s="543">
        <v>4</v>
      </c>
      <c r="Q105" s="543">
        <v>6</v>
      </c>
      <c r="R105" s="543">
        <v>11</v>
      </c>
      <c r="S105" s="543">
        <v>2</v>
      </c>
      <c r="T105" s="543">
        <v>4</v>
      </c>
      <c r="U105" s="543">
        <v>9</v>
      </c>
      <c r="V105" s="543">
        <v>2</v>
      </c>
      <c r="W105" s="543">
        <v>7</v>
      </c>
      <c r="X105" s="543">
        <v>5</v>
      </c>
      <c r="Y105" s="543" t="s">
        <v>949</v>
      </c>
    </row>
    <row r="106" spans="3:25">
      <c r="C106" s="88" t="str">
        <f>'G-1 All Habitats'!B104</f>
        <v>Rocky shore - Low energy littoral rock</v>
      </c>
      <c r="D106" s="543" t="s">
        <v>949</v>
      </c>
      <c r="E106" s="543" t="s">
        <v>949</v>
      </c>
      <c r="F106" s="543" t="s">
        <v>949</v>
      </c>
      <c r="G106" s="543" t="s">
        <v>949</v>
      </c>
      <c r="H106" s="543" t="s">
        <v>949</v>
      </c>
      <c r="I106" s="543" t="s">
        <v>949</v>
      </c>
      <c r="J106" s="543" t="s">
        <v>949</v>
      </c>
      <c r="K106" s="543" t="s">
        <v>949</v>
      </c>
      <c r="L106" s="543" t="s">
        <v>949</v>
      </c>
      <c r="M106" s="543" t="s">
        <v>949</v>
      </c>
      <c r="N106" s="543" t="s">
        <v>949</v>
      </c>
      <c r="O106" s="543">
        <v>2</v>
      </c>
      <c r="P106" s="543">
        <v>4</v>
      </c>
      <c r="Q106" s="543">
        <v>6</v>
      </c>
      <c r="R106" s="543">
        <v>12</v>
      </c>
      <c r="S106" s="543">
        <v>2</v>
      </c>
      <c r="T106" s="543">
        <v>4</v>
      </c>
      <c r="U106" s="543">
        <v>10</v>
      </c>
      <c r="V106" s="543">
        <v>2</v>
      </c>
      <c r="W106" s="543">
        <v>8</v>
      </c>
      <c r="X106" s="543">
        <v>6</v>
      </c>
      <c r="Y106" s="543" t="s">
        <v>949</v>
      </c>
    </row>
    <row r="107" spans="3:25">
      <c r="C107" s="88" t="str">
        <f>'G-1 All Habitats'!B105</f>
        <v>Rocky shore - Low energy littoral rock - on peat, clay or chalk</v>
      </c>
      <c r="D107" s="543" t="s">
        <v>949</v>
      </c>
      <c r="E107" s="543" t="s">
        <v>949</v>
      </c>
      <c r="F107" s="543" t="s">
        <v>949</v>
      </c>
      <c r="G107" s="543" t="s">
        <v>949</v>
      </c>
      <c r="H107" s="543" t="s">
        <v>949</v>
      </c>
      <c r="I107" s="543" t="s">
        <v>949</v>
      </c>
      <c r="J107" s="543" t="s">
        <v>949</v>
      </c>
      <c r="K107" s="543" t="s">
        <v>949</v>
      </c>
      <c r="L107" s="543" t="s">
        <v>949</v>
      </c>
      <c r="M107" s="543" t="s">
        <v>949</v>
      </c>
      <c r="N107" s="543" t="s">
        <v>949</v>
      </c>
      <c r="O107" s="543">
        <v>2</v>
      </c>
      <c r="P107" s="543">
        <v>4</v>
      </c>
      <c r="Q107" s="543">
        <v>6</v>
      </c>
      <c r="R107" s="543">
        <v>12</v>
      </c>
      <c r="S107" s="543">
        <v>2</v>
      </c>
      <c r="T107" s="543">
        <v>4</v>
      </c>
      <c r="U107" s="543">
        <v>10</v>
      </c>
      <c r="V107" s="543">
        <v>2</v>
      </c>
      <c r="W107" s="543">
        <v>8</v>
      </c>
      <c r="X107" s="543">
        <v>6</v>
      </c>
      <c r="Y107" s="543" t="s">
        <v>949</v>
      </c>
    </row>
    <row r="108" spans="3:25">
      <c r="C108" s="88" t="str">
        <f>'G-1 All Habitats'!B106</f>
        <v>Rocky shore - Features of littoral rock</v>
      </c>
      <c r="D108" s="543" t="s">
        <v>949</v>
      </c>
      <c r="E108" s="543" t="s">
        <v>949</v>
      </c>
      <c r="F108" s="543" t="s">
        <v>949</v>
      </c>
      <c r="G108" s="543" t="s">
        <v>949</v>
      </c>
      <c r="H108" s="543" t="s">
        <v>949</v>
      </c>
      <c r="I108" s="543" t="s">
        <v>949</v>
      </c>
      <c r="J108" s="543" t="s">
        <v>949</v>
      </c>
      <c r="K108" s="543" t="s">
        <v>949</v>
      </c>
      <c r="L108" s="543" t="s">
        <v>949</v>
      </c>
      <c r="M108" s="543" t="s">
        <v>949</v>
      </c>
      <c r="N108" s="543" t="s">
        <v>949</v>
      </c>
      <c r="O108" s="543">
        <v>2</v>
      </c>
      <c r="P108" s="543">
        <v>4</v>
      </c>
      <c r="Q108" s="543">
        <v>6</v>
      </c>
      <c r="R108" s="543">
        <v>11</v>
      </c>
      <c r="S108" s="543">
        <v>2</v>
      </c>
      <c r="T108" s="543">
        <v>4</v>
      </c>
      <c r="U108" s="543">
        <v>9</v>
      </c>
      <c r="V108" s="543">
        <v>2</v>
      </c>
      <c r="W108" s="543">
        <v>7</v>
      </c>
      <c r="X108" s="543">
        <v>5</v>
      </c>
      <c r="Y108" s="543" t="s">
        <v>949</v>
      </c>
    </row>
    <row r="109" spans="3:25">
      <c r="C109" s="88" t="str">
        <f>'G-1 All Habitats'!B107</f>
        <v>Rocky shore - Features of littoral rock - on peat, clay or chalk</v>
      </c>
      <c r="D109" s="543" t="s">
        <v>949</v>
      </c>
      <c r="E109" s="543" t="s">
        <v>949</v>
      </c>
      <c r="F109" s="543" t="s">
        <v>949</v>
      </c>
      <c r="G109" s="543" t="s">
        <v>949</v>
      </c>
      <c r="H109" s="543" t="s">
        <v>949</v>
      </c>
      <c r="I109" s="543" t="s">
        <v>949</v>
      </c>
      <c r="J109" s="543" t="s">
        <v>949</v>
      </c>
      <c r="K109" s="543" t="s">
        <v>949</v>
      </c>
      <c r="L109" s="543" t="s">
        <v>949</v>
      </c>
      <c r="M109" s="543" t="s">
        <v>949</v>
      </c>
      <c r="N109" s="543" t="s">
        <v>949</v>
      </c>
      <c r="O109" s="543">
        <v>2</v>
      </c>
      <c r="P109" s="543">
        <v>4</v>
      </c>
      <c r="Q109" s="543">
        <v>6</v>
      </c>
      <c r="R109" s="543">
        <v>11</v>
      </c>
      <c r="S109" s="543">
        <v>2</v>
      </c>
      <c r="T109" s="543">
        <v>4</v>
      </c>
      <c r="U109" s="543">
        <v>9</v>
      </c>
      <c r="V109" s="543">
        <v>2</v>
      </c>
      <c r="W109" s="543">
        <v>7</v>
      </c>
      <c r="X109" s="543">
        <v>5</v>
      </c>
      <c r="Y109" s="543" t="s">
        <v>949</v>
      </c>
    </row>
    <row r="110" spans="3:25">
      <c r="C110" s="88" t="str">
        <f>'G-1 All Habitats'!B110</f>
        <v>Intertidal sediment - Littoral coarse sediment</v>
      </c>
      <c r="D110" s="543" t="s">
        <v>949</v>
      </c>
      <c r="E110" s="543" t="s">
        <v>949</v>
      </c>
      <c r="F110" s="543" t="s">
        <v>949</v>
      </c>
      <c r="G110" s="543" t="s">
        <v>949</v>
      </c>
      <c r="H110" s="543" t="s">
        <v>949</v>
      </c>
      <c r="I110" s="543" t="s">
        <v>949</v>
      </c>
      <c r="J110" s="543" t="s">
        <v>949</v>
      </c>
      <c r="K110" s="543" t="s">
        <v>949</v>
      </c>
      <c r="L110" s="543" t="s">
        <v>949</v>
      </c>
      <c r="M110" s="543" t="s">
        <v>949</v>
      </c>
      <c r="N110" s="543" t="s">
        <v>949</v>
      </c>
      <c r="O110" s="543">
        <v>1</v>
      </c>
      <c r="P110" s="543">
        <v>2</v>
      </c>
      <c r="Q110" s="543">
        <v>3</v>
      </c>
      <c r="R110" s="543">
        <v>4</v>
      </c>
      <c r="S110" s="543">
        <v>1</v>
      </c>
      <c r="T110" s="543">
        <v>2</v>
      </c>
      <c r="U110" s="543">
        <v>3</v>
      </c>
      <c r="V110" s="543">
        <v>1</v>
      </c>
      <c r="W110" s="543">
        <v>2</v>
      </c>
      <c r="X110" s="543">
        <v>1</v>
      </c>
      <c r="Y110" s="543" t="s">
        <v>949</v>
      </c>
    </row>
    <row r="111" spans="3:25">
      <c r="C111" s="88" t="str">
        <f>'G-1 All Habitats'!B111</f>
        <v>Intertidal sediment - Littoral mud</v>
      </c>
      <c r="D111" s="543" t="s">
        <v>949</v>
      </c>
      <c r="E111" s="543" t="s">
        <v>949</v>
      </c>
      <c r="F111" s="543" t="s">
        <v>949</v>
      </c>
      <c r="G111" s="543" t="s">
        <v>949</v>
      </c>
      <c r="H111" s="543" t="s">
        <v>949</v>
      </c>
      <c r="I111" s="543" t="s">
        <v>949</v>
      </c>
      <c r="J111" s="543" t="s">
        <v>949</v>
      </c>
      <c r="K111" s="543" t="s">
        <v>949</v>
      </c>
      <c r="L111" s="543" t="s">
        <v>949</v>
      </c>
      <c r="M111" s="543" t="s">
        <v>949</v>
      </c>
      <c r="N111" s="543" t="s">
        <v>949</v>
      </c>
      <c r="O111" s="543">
        <v>2</v>
      </c>
      <c r="P111" s="543">
        <v>4</v>
      </c>
      <c r="Q111" s="543">
        <v>6</v>
      </c>
      <c r="R111" s="543">
        <v>8</v>
      </c>
      <c r="S111" s="543">
        <v>2</v>
      </c>
      <c r="T111" s="543">
        <v>4</v>
      </c>
      <c r="U111" s="543">
        <v>6</v>
      </c>
      <c r="V111" s="543">
        <v>2</v>
      </c>
      <c r="W111" s="543">
        <v>4</v>
      </c>
      <c r="X111" s="543">
        <v>2</v>
      </c>
      <c r="Y111" s="543" t="s">
        <v>949</v>
      </c>
    </row>
    <row r="112" spans="3:25">
      <c r="C112" s="88" t="str">
        <f>'G-1 All Habitats'!B112</f>
        <v>Intertidal sediment - Littoral mixed sediments</v>
      </c>
      <c r="D112" s="543" t="s">
        <v>949</v>
      </c>
      <c r="E112" s="543" t="s">
        <v>949</v>
      </c>
      <c r="F112" s="543" t="s">
        <v>949</v>
      </c>
      <c r="G112" s="543" t="s">
        <v>949</v>
      </c>
      <c r="H112" s="543" t="s">
        <v>949</v>
      </c>
      <c r="I112" s="543" t="s">
        <v>949</v>
      </c>
      <c r="J112" s="543" t="s">
        <v>949</v>
      </c>
      <c r="K112" s="543" t="s">
        <v>949</v>
      </c>
      <c r="L112" s="543" t="s">
        <v>949</v>
      </c>
      <c r="M112" s="543" t="s">
        <v>949</v>
      </c>
      <c r="N112" s="543" t="s">
        <v>949</v>
      </c>
      <c r="O112" s="543">
        <v>1</v>
      </c>
      <c r="P112" s="543">
        <v>2</v>
      </c>
      <c r="Q112" s="543">
        <v>3</v>
      </c>
      <c r="R112" s="543">
        <v>4</v>
      </c>
      <c r="S112" s="543">
        <v>1</v>
      </c>
      <c r="T112" s="543">
        <v>2</v>
      </c>
      <c r="U112" s="543">
        <v>3</v>
      </c>
      <c r="V112" s="543">
        <v>1</v>
      </c>
      <c r="W112" s="543">
        <v>2</v>
      </c>
      <c r="X112" s="543">
        <v>1</v>
      </c>
      <c r="Y112" s="543" t="s">
        <v>949</v>
      </c>
    </row>
    <row r="113" spans="3:25">
      <c r="C113" s="88" t="str">
        <f>'G-1 All Habitats'!B108</f>
        <v>Coastal saltmarsh - Saltmarshes and saline reedbeds</v>
      </c>
      <c r="D113" s="543" t="s">
        <v>949</v>
      </c>
      <c r="E113" s="543" t="s">
        <v>949</v>
      </c>
      <c r="F113" s="543" t="s">
        <v>949</v>
      </c>
      <c r="G113" s="543" t="s">
        <v>949</v>
      </c>
      <c r="H113" s="543" t="s">
        <v>949</v>
      </c>
      <c r="I113" s="543" t="s">
        <v>949</v>
      </c>
      <c r="J113" s="543" t="s">
        <v>949</v>
      </c>
      <c r="K113" s="543" t="s">
        <v>949</v>
      </c>
      <c r="L113" s="543" t="s">
        <v>949</v>
      </c>
      <c r="M113" s="543" t="s">
        <v>949</v>
      </c>
      <c r="N113" s="543" t="s">
        <v>949</v>
      </c>
      <c r="O113" s="543">
        <v>2</v>
      </c>
      <c r="P113" s="543">
        <v>6</v>
      </c>
      <c r="Q113" s="543">
        <v>10</v>
      </c>
      <c r="R113" s="543">
        <v>20</v>
      </c>
      <c r="S113" s="543">
        <v>4</v>
      </c>
      <c r="T113" s="543">
        <v>8</v>
      </c>
      <c r="U113" s="543">
        <v>18</v>
      </c>
      <c r="V113" s="543">
        <v>4</v>
      </c>
      <c r="W113" s="543">
        <v>14</v>
      </c>
      <c r="X113" s="543">
        <v>10</v>
      </c>
      <c r="Y113" s="543" t="s">
        <v>949</v>
      </c>
    </row>
    <row r="114" spans="3:25">
      <c r="C114" s="88" t="str">
        <f>'G-1 All Habitats'!B109</f>
        <v>Coastal saltmarsh - Artificial saltmarshes and saline reedbeds</v>
      </c>
      <c r="D114" s="543" t="s">
        <v>949</v>
      </c>
      <c r="E114" s="543" t="s">
        <v>949</v>
      </c>
      <c r="F114" s="543" t="s">
        <v>949</v>
      </c>
      <c r="G114" s="543" t="s">
        <v>949</v>
      </c>
      <c r="H114" s="543" t="s">
        <v>949</v>
      </c>
      <c r="I114" s="543" t="s">
        <v>949</v>
      </c>
      <c r="J114" s="543" t="s">
        <v>949</v>
      </c>
      <c r="K114" s="543" t="s">
        <v>949</v>
      </c>
      <c r="L114" s="543" t="s">
        <v>949</v>
      </c>
      <c r="M114" s="543" t="s">
        <v>949</v>
      </c>
      <c r="N114" s="543" t="s">
        <v>949</v>
      </c>
      <c r="O114" s="543">
        <v>2</v>
      </c>
      <c r="P114" s="543">
        <v>6</v>
      </c>
      <c r="Q114" s="543">
        <v>10</v>
      </c>
      <c r="R114" s="543">
        <v>20</v>
      </c>
      <c r="S114" s="543">
        <v>4</v>
      </c>
      <c r="T114" s="543">
        <v>8</v>
      </c>
      <c r="U114" s="543">
        <v>18</v>
      </c>
      <c r="V114" s="543">
        <v>4</v>
      </c>
      <c r="W114" s="543">
        <v>14</v>
      </c>
      <c r="X114" s="543">
        <v>10</v>
      </c>
      <c r="Y114" s="543" t="s">
        <v>949</v>
      </c>
    </row>
    <row r="115" spans="3:25">
      <c r="C115" s="88" t="str">
        <f>'G-1 All Habitats'!B113</f>
        <v>Intertidal sediment - Littoral seagrass</v>
      </c>
      <c r="D115" s="543" t="s">
        <v>949</v>
      </c>
      <c r="E115" s="543" t="s">
        <v>949</v>
      </c>
      <c r="F115" s="543" t="s">
        <v>949</v>
      </c>
      <c r="G115" s="543" t="s">
        <v>949</v>
      </c>
      <c r="H115" s="543" t="s">
        <v>949</v>
      </c>
      <c r="I115" s="543" t="s">
        <v>949</v>
      </c>
      <c r="J115" s="543" t="s">
        <v>949</v>
      </c>
      <c r="K115" s="543" t="s">
        <v>949</v>
      </c>
      <c r="L115" s="543" t="s">
        <v>949</v>
      </c>
      <c r="M115" s="543" t="s">
        <v>949</v>
      </c>
      <c r="N115" s="543" t="s">
        <v>949</v>
      </c>
      <c r="O115" s="543">
        <v>3</v>
      </c>
      <c r="P115" s="543">
        <v>13</v>
      </c>
      <c r="Q115" s="543">
        <v>23</v>
      </c>
      <c r="R115" s="543">
        <v>0</v>
      </c>
      <c r="S115" s="543">
        <v>10</v>
      </c>
      <c r="T115" s="543">
        <v>20</v>
      </c>
      <c r="U115" s="543">
        <v>30</v>
      </c>
      <c r="V115" s="543">
        <v>10</v>
      </c>
      <c r="W115" s="543">
        <v>20</v>
      </c>
      <c r="X115" s="543">
        <v>10</v>
      </c>
      <c r="Y115" s="543" t="s">
        <v>949</v>
      </c>
    </row>
    <row r="116" spans="3:25">
      <c r="C116" s="88" t="str">
        <f>'G-1 All Habitats'!B114</f>
        <v>Intertidal sediment - Littoral seagrass on peat, clay or chalk</v>
      </c>
      <c r="D116" s="543" t="s">
        <v>949</v>
      </c>
      <c r="E116" s="543" t="s">
        <v>949</v>
      </c>
      <c r="F116" s="543" t="s">
        <v>949</v>
      </c>
      <c r="G116" s="543" t="s">
        <v>949</v>
      </c>
      <c r="H116" s="543" t="s">
        <v>949</v>
      </c>
      <c r="I116" s="543" t="s">
        <v>949</v>
      </c>
      <c r="J116" s="543" t="s">
        <v>949</v>
      </c>
      <c r="K116" s="543" t="s">
        <v>949</v>
      </c>
      <c r="L116" s="543" t="s">
        <v>949</v>
      </c>
      <c r="M116" s="543" t="s">
        <v>949</v>
      </c>
      <c r="N116" s="543" t="s">
        <v>949</v>
      </c>
      <c r="O116" s="543">
        <v>2</v>
      </c>
      <c r="P116" s="543">
        <v>4</v>
      </c>
      <c r="Q116" s="543">
        <v>7</v>
      </c>
      <c r="R116" s="543">
        <v>0</v>
      </c>
      <c r="S116" s="543">
        <v>2</v>
      </c>
      <c r="T116" s="543">
        <v>3</v>
      </c>
      <c r="U116" s="543">
        <v>8</v>
      </c>
      <c r="V116" s="543">
        <v>3</v>
      </c>
      <c r="W116" s="543">
        <v>6</v>
      </c>
      <c r="X116" s="543">
        <v>3</v>
      </c>
      <c r="Y116" s="543" t="s">
        <v>949</v>
      </c>
    </row>
    <row r="117" spans="3:25">
      <c r="C117" s="88" t="str">
        <f>'G-1 All Habitats'!B115</f>
        <v>Intertidal sediment - Littoral biogenic reefs - Mussels</v>
      </c>
      <c r="D117" s="543" t="s">
        <v>949</v>
      </c>
      <c r="E117" s="543" t="s">
        <v>949</v>
      </c>
      <c r="F117" s="543" t="s">
        <v>949</v>
      </c>
      <c r="G117" s="543" t="s">
        <v>949</v>
      </c>
      <c r="H117" s="543" t="s">
        <v>949</v>
      </c>
      <c r="I117" s="543" t="s">
        <v>949</v>
      </c>
      <c r="J117" s="543" t="s">
        <v>949</v>
      </c>
      <c r="K117" s="543" t="s">
        <v>949</v>
      </c>
      <c r="L117" s="543" t="s">
        <v>949</v>
      </c>
      <c r="M117" s="543" t="s">
        <v>949</v>
      </c>
      <c r="N117" s="543" t="s">
        <v>949</v>
      </c>
      <c r="O117" s="543">
        <v>2</v>
      </c>
      <c r="P117" s="543">
        <v>4</v>
      </c>
      <c r="Q117" s="543">
        <v>7</v>
      </c>
      <c r="R117" s="543">
        <v>10</v>
      </c>
      <c r="S117" s="543">
        <v>2</v>
      </c>
      <c r="T117" s="543">
        <v>3</v>
      </c>
      <c r="U117" s="543">
        <v>8</v>
      </c>
      <c r="V117" s="543">
        <v>3</v>
      </c>
      <c r="W117" s="543">
        <v>6</v>
      </c>
      <c r="X117" s="543">
        <v>3</v>
      </c>
      <c r="Y117" s="543" t="s">
        <v>949</v>
      </c>
    </row>
    <row r="118" spans="3:25">
      <c r="C118" s="88" t="str">
        <f>'G-1 All Habitats'!B116</f>
        <v>Intertidal sediment - Littoral biogenic reefs - Sabellaria</v>
      </c>
      <c r="D118" s="543" t="s">
        <v>949</v>
      </c>
      <c r="E118" s="543" t="s">
        <v>949</v>
      </c>
      <c r="F118" s="543" t="s">
        <v>949</v>
      </c>
      <c r="G118" s="543" t="s">
        <v>949</v>
      </c>
      <c r="H118" s="543" t="s">
        <v>949</v>
      </c>
      <c r="I118" s="543" t="s">
        <v>949</v>
      </c>
      <c r="J118" s="543" t="s">
        <v>949</v>
      </c>
      <c r="K118" s="543" t="s">
        <v>949</v>
      </c>
      <c r="L118" s="543" t="s">
        <v>949</v>
      </c>
      <c r="M118" s="543" t="s">
        <v>949</v>
      </c>
      <c r="N118" s="543" t="s">
        <v>949</v>
      </c>
      <c r="O118" s="543">
        <v>2</v>
      </c>
      <c r="P118" s="543">
        <v>4</v>
      </c>
      <c r="Q118" s="543">
        <v>7</v>
      </c>
      <c r="R118" s="543">
        <v>10</v>
      </c>
      <c r="S118" s="543">
        <v>2</v>
      </c>
      <c r="T118" s="543">
        <v>3</v>
      </c>
      <c r="U118" s="543">
        <v>8</v>
      </c>
      <c r="V118" s="543">
        <v>3</v>
      </c>
      <c r="W118" s="543">
        <v>6</v>
      </c>
      <c r="X118" s="543">
        <v>3</v>
      </c>
      <c r="Y118" s="543" t="s">
        <v>949</v>
      </c>
    </row>
    <row r="119" spans="3:25">
      <c r="C119" s="88" t="str">
        <f>'G-1 All Habitats'!B117</f>
        <v>Intertidal sediment - Features of littoral sediment</v>
      </c>
      <c r="D119" s="543" t="s">
        <v>949</v>
      </c>
      <c r="E119" s="543" t="s">
        <v>949</v>
      </c>
      <c r="F119" s="543" t="s">
        <v>949</v>
      </c>
      <c r="G119" s="543" t="s">
        <v>949</v>
      </c>
      <c r="H119" s="543" t="s">
        <v>949</v>
      </c>
      <c r="I119" s="543" t="s">
        <v>949</v>
      </c>
      <c r="J119" s="543" t="s">
        <v>949</v>
      </c>
      <c r="K119" s="543" t="s">
        <v>949</v>
      </c>
      <c r="L119" s="543" t="s">
        <v>949</v>
      </c>
      <c r="M119" s="543" t="s">
        <v>949</v>
      </c>
      <c r="N119" s="543" t="s">
        <v>949</v>
      </c>
      <c r="O119" s="543">
        <v>1</v>
      </c>
      <c r="P119" s="543">
        <v>2</v>
      </c>
      <c r="Q119" s="543">
        <v>3</v>
      </c>
      <c r="R119" s="543">
        <v>5</v>
      </c>
      <c r="S119" s="543">
        <v>1</v>
      </c>
      <c r="T119" s="543">
        <v>2</v>
      </c>
      <c r="U119" s="543">
        <v>4</v>
      </c>
      <c r="V119" s="543">
        <v>1</v>
      </c>
      <c r="W119" s="543">
        <v>3</v>
      </c>
      <c r="X119" s="543">
        <v>2</v>
      </c>
      <c r="Y119" s="543" t="s">
        <v>949</v>
      </c>
    </row>
    <row r="120" spans="3:25">
      <c r="C120" s="88" t="str">
        <f>'G-1 All Habitats'!B118</f>
        <v>Intertidal sediment - Artificial littoral coarse sediment</v>
      </c>
      <c r="D120" s="543" t="s">
        <v>949</v>
      </c>
      <c r="E120" s="543" t="s">
        <v>949</v>
      </c>
      <c r="F120" s="543" t="s">
        <v>949</v>
      </c>
      <c r="G120" s="543" t="s">
        <v>949</v>
      </c>
      <c r="H120" s="543" t="s">
        <v>949</v>
      </c>
      <c r="I120" s="543" t="s">
        <v>949</v>
      </c>
      <c r="J120" s="543" t="s">
        <v>949</v>
      </c>
      <c r="K120" s="543" t="s">
        <v>949</v>
      </c>
      <c r="L120" s="543" t="s">
        <v>949</v>
      </c>
      <c r="M120" s="543" t="s">
        <v>949</v>
      </c>
      <c r="N120" s="543" t="s">
        <v>949</v>
      </c>
      <c r="O120" s="543">
        <v>1</v>
      </c>
      <c r="P120" s="543">
        <v>2</v>
      </c>
      <c r="Q120" s="543">
        <v>3</v>
      </c>
      <c r="R120" s="543">
        <v>4</v>
      </c>
      <c r="S120" s="543">
        <v>1</v>
      </c>
      <c r="T120" s="543">
        <v>2</v>
      </c>
      <c r="U120" s="543">
        <v>3</v>
      </c>
      <c r="V120" s="543">
        <v>1</v>
      </c>
      <c r="W120" s="543">
        <v>2</v>
      </c>
      <c r="X120" s="543">
        <v>1</v>
      </c>
      <c r="Y120" s="543" t="s">
        <v>949</v>
      </c>
    </row>
    <row r="121" spans="3:25">
      <c r="C121" s="88" t="str">
        <f>'G-1 All Habitats'!B119</f>
        <v>Intertidal sediment - Artificial littoral mud</v>
      </c>
      <c r="D121" s="543" t="s">
        <v>949</v>
      </c>
      <c r="E121" s="543" t="s">
        <v>949</v>
      </c>
      <c r="F121" s="543" t="s">
        <v>949</v>
      </c>
      <c r="G121" s="543" t="s">
        <v>949</v>
      </c>
      <c r="H121" s="543" t="s">
        <v>949</v>
      </c>
      <c r="I121" s="543" t="s">
        <v>949</v>
      </c>
      <c r="J121" s="543" t="s">
        <v>949</v>
      </c>
      <c r="K121" s="543" t="s">
        <v>949</v>
      </c>
      <c r="L121" s="543" t="s">
        <v>949</v>
      </c>
      <c r="M121" s="543" t="s">
        <v>949</v>
      </c>
      <c r="N121" s="543" t="s">
        <v>949</v>
      </c>
      <c r="O121" s="543">
        <v>2</v>
      </c>
      <c r="P121" s="543">
        <v>4</v>
      </c>
      <c r="Q121" s="543">
        <v>6</v>
      </c>
      <c r="R121" s="543">
        <v>8</v>
      </c>
      <c r="S121" s="543">
        <v>2</v>
      </c>
      <c r="T121" s="543">
        <v>4</v>
      </c>
      <c r="U121" s="543">
        <v>6</v>
      </c>
      <c r="V121" s="543">
        <v>2</v>
      </c>
      <c r="W121" s="543">
        <v>4</v>
      </c>
      <c r="X121" s="543">
        <v>2</v>
      </c>
      <c r="Y121" s="543" t="s">
        <v>949</v>
      </c>
    </row>
    <row r="122" spans="3:25">
      <c r="C122" s="88" t="str">
        <f>'G-1 All Habitats'!B120</f>
        <v>Intertidal sediment - Artificial littoral sand</v>
      </c>
      <c r="D122" s="543" t="s">
        <v>949</v>
      </c>
      <c r="E122" s="543" t="s">
        <v>949</v>
      </c>
      <c r="F122" s="543" t="s">
        <v>949</v>
      </c>
      <c r="G122" s="543" t="s">
        <v>949</v>
      </c>
      <c r="H122" s="543" t="s">
        <v>949</v>
      </c>
      <c r="I122" s="543" t="s">
        <v>949</v>
      </c>
      <c r="J122" s="543" t="s">
        <v>949</v>
      </c>
      <c r="K122" s="543" t="s">
        <v>949</v>
      </c>
      <c r="L122" s="543" t="s">
        <v>949</v>
      </c>
      <c r="M122" s="543" t="s">
        <v>949</v>
      </c>
      <c r="N122" s="543" t="s">
        <v>949</v>
      </c>
      <c r="O122" s="543">
        <v>2</v>
      </c>
      <c r="P122" s="543">
        <v>3</v>
      </c>
      <c r="Q122" s="543">
        <v>4</v>
      </c>
      <c r="R122" s="543">
        <v>6</v>
      </c>
      <c r="S122" s="543">
        <v>1</v>
      </c>
      <c r="T122" s="543">
        <v>2</v>
      </c>
      <c r="U122" s="543">
        <v>4</v>
      </c>
      <c r="V122" s="543">
        <v>1</v>
      </c>
      <c r="W122" s="543">
        <v>3</v>
      </c>
      <c r="X122" s="543">
        <v>2</v>
      </c>
      <c r="Y122" s="543" t="s">
        <v>949</v>
      </c>
    </row>
    <row r="123" spans="3:25">
      <c r="C123" s="88" t="str">
        <f>'G-1 All Habitats'!B121</f>
        <v>Intertidal sediment - Artificial littoral muddy sand</v>
      </c>
      <c r="D123" s="543" t="s">
        <v>949</v>
      </c>
      <c r="E123" s="543" t="s">
        <v>949</v>
      </c>
      <c r="F123" s="543" t="s">
        <v>949</v>
      </c>
      <c r="G123" s="543" t="s">
        <v>949</v>
      </c>
      <c r="H123" s="543" t="s">
        <v>949</v>
      </c>
      <c r="I123" s="543" t="s">
        <v>949</v>
      </c>
      <c r="J123" s="543" t="s">
        <v>949</v>
      </c>
      <c r="K123" s="543" t="s">
        <v>949</v>
      </c>
      <c r="L123" s="543" t="s">
        <v>949</v>
      </c>
      <c r="M123" s="543" t="s">
        <v>949</v>
      </c>
      <c r="N123" s="543" t="s">
        <v>949</v>
      </c>
      <c r="O123" s="543">
        <v>2</v>
      </c>
      <c r="P123" s="543">
        <v>4</v>
      </c>
      <c r="Q123" s="543">
        <v>6</v>
      </c>
      <c r="R123" s="543">
        <v>8</v>
      </c>
      <c r="S123" s="543">
        <v>2</v>
      </c>
      <c r="T123" s="543">
        <v>4</v>
      </c>
      <c r="U123" s="543">
        <v>6</v>
      </c>
      <c r="V123" s="543">
        <v>2</v>
      </c>
      <c r="W123" s="543">
        <v>4</v>
      </c>
      <c r="X123" s="543">
        <v>2</v>
      </c>
      <c r="Y123" s="543" t="s">
        <v>949</v>
      </c>
    </row>
    <row r="124" spans="3:25">
      <c r="C124" s="88" t="str">
        <f>'G-1 All Habitats'!B122</f>
        <v>Intertidal sediment - Artificial littoral mixed sediments</v>
      </c>
      <c r="D124" s="543" t="s">
        <v>949</v>
      </c>
      <c r="E124" s="543" t="s">
        <v>949</v>
      </c>
      <c r="F124" s="543" t="s">
        <v>949</v>
      </c>
      <c r="G124" s="543" t="s">
        <v>949</v>
      </c>
      <c r="H124" s="543" t="s">
        <v>949</v>
      </c>
      <c r="I124" s="543" t="s">
        <v>949</v>
      </c>
      <c r="J124" s="543" t="s">
        <v>949</v>
      </c>
      <c r="K124" s="543" t="s">
        <v>949</v>
      </c>
      <c r="L124" s="543" t="s">
        <v>949</v>
      </c>
      <c r="M124" s="543" t="s">
        <v>949</v>
      </c>
      <c r="N124" s="543" t="s">
        <v>949</v>
      </c>
      <c r="O124" s="543">
        <v>1</v>
      </c>
      <c r="P124" s="543">
        <v>2</v>
      </c>
      <c r="Q124" s="543">
        <v>3</v>
      </c>
      <c r="R124" s="543">
        <v>4</v>
      </c>
      <c r="S124" s="543">
        <v>1</v>
      </c>
      <c r="T124" s="543">
        <v>2</v>
      </c>
      <c r="U124" s="543">
        <v>3</v>
      </c>
      <c r="V124" s="543">
        <v>1</v>
      </c>
      <c r="W124" s="543">
        <v>2</v>
      </c>
      <c r="X124" s="543">
        <v>1</v>
      </c>
      <c r="Y124" s="543" t="s">
        <v>949</v>
      </c>
    </row>
    <row r="125" spans="3:25">
      <c r="C125" s="88" t="str">
        <f>'G-1 All Habitats'!B123</f>
        <v>Intertidal sediment - Artificial littoral seagrass</v>
      </c>
      <c r="D125" s="543" t="s">
        <v>949</v>
      </c>
      <c r="E125" s="543" t="s">
        <v>949</v>
      </c>
      <c r="F125" s="543" t="s">
        <v>949</v>
      </c>
      <c r="G125" s="543" t="s">
        <v>949</v>
      </c>
      <c r="H125" s="543" t="s">
        <v>949</v>
      </c>
      <c r="I125" s="543" t="s">
        <v>949</v>
      </c>
      <c r="J125" s="543" t="s">
        <v>949</v>
      </c>
      <c r="K125" s="543" t="s">
        <v>949</v>
      </c>
      <c r="L125" s="543" t="s">
        <v>949</v>
      </c>
      <c r="M125" s="543" t="s">
        <v>949</v>
      </c>
      <c r="N125" s="543" t="s">
        <v>949</v>
      </c>
      <c r="O125" s="543">
        <v>3</v>
      </c>
      <c r="P125" s="543">
        <v>13</v>
      </c>
      <c r="Q125" s="543">
        <v>23</v>
      </c>
      <c r="R125" s="543" t="s">
        <v>950</v>
      </c>
      <c r="S125" s="543">
        <v>10</v>
      </c>
      <c r="T125" s="543">
        <v>20</v>
      </c>
      <c r="U125" s="543">
        <v>30</v>
      </c>
      <c r="V125" s="543">
        <v>10</v>
      </c>
      <c r="W125" s="543">
        <v>20</v>
      </c>
      <c r="X125" s="543">
        <v>10</v>
      </c>
      <c r="Y125" s="543" t="s">
        <v>949</v>
      </c>
    </row>
    <row r="126" spans="3:25">
      <c r="C126" s="88" t="str">
        <f>'G-1 All Habitats'!B124</f>
        <v>Intertidal sediment - Artificial littoral biogenic reefs</v>
      </c>
      <c r="D126" s="543" t="s">
        <v>949</v>
      </c>
      <c r="E126" s="543" t="s">
        <v>949</v>
      </c>
      <c r="F126" s="543" t="s">
        <v>949</v>
      </c>
      <c r="G126" s="543" t="s">
        <v>949</v>
      </c>
      <c r="H126" s="543" t="s">
        <v>949</v>
      </c>
      <c r="I126" s="543" t="s">
        <v>949</v>
      </c>
      <c r="J126" s="543" t="s">
        <v>949</v>
      </c>
      <c r="K126" s="543" t="s">
        <v>949</v>
      </c>
      <c r="L126" s="543" t="s">
        <v>949</v>
      </c>
      <c r="M126" s="543" t="s">
        <v>949</v>
      </c>
      <c r="N126" s="543" t="s">
        <v>949</v>
      </c>
      <c r="O126" s="543">
        <v>2</v>
      </c>
      <c r="P126" s="543">
        <v>4</v>
      </c>
      <c r="Q126" s="543">
        <v>7</v>
      </c>
      <c r="R126" s="543">
        <v>10</v>
      </c>
      <c r="S126" s="543">
        <v>2</v>
      </c>
      <c r="T126" s="543">
        <v>3</v>
      </c>
      <c r="U126" s="543">
        <v>8</v>
      </c>
      <c r="V126" s="543">
        <v>3</v>
      </c>
      <c r="W126" s="543">
        <v>6</v>
      </c>
      <c r="X126" s="543">
        <v>3</v>
      </c>
      <c r="Y126" s="543" t="s">
        <v>949</v>
      </c>
    </row>
    <row r="127" spans="3:25">
      <c r="C127" s="88" t="str">
        <f>'G-1 All Habitats'!B125</f>
        <v>Intertidal sediment - Littoral sand</v>
      </c>
      <c r="D127" s="543" t="s">
        <v>949</v>
      </c>
      <c r="E127" s="543" t="s">
        <v>949</v>
      </c>
      <c r="F127" s="543" t="s">
        <v>949</v>
      </c>
      <c r="G127" s="543" t="s">
        <v>949</v>
      </c>
      <c r="H127" s="543" t="s">
        <v>949</v>
      </c>
      <c r="I127" s="543" t="s">
        <v>949</v>
      </c>
      <c r="J127" s="543" t="s">
        <v>949</v>
      </c>
      <c r="K127" s="543" t="s">
        <v>949</v>
      </c>
      <c r="L127" s="543" t="s">
        <v>949</v>
      </c>
      <c r="M127" s="543" t="s">
        <v>949</v>
      </c>
      <c r="N127" s="543" t="s">
        <v>949</v>
      </c>
      <c r="O127" s="543">
        <v>2</v>
      </c>
      <c r="P127" s="543">
        <v>3</v>
      </c>
      <c r="Q127" s="543">
        <v>4</v>
      </c>
      <c r="R127" s="543">
        <v>6</v>
      </c>
      <c r="S127" s="543">
        <v>1</v>
      </c>
      <c r="T127" s="543">
        <v>2</v>
      </c>
      <c r="U127" s="543">
        <v>4</v>
      </c>
      <c r="V127" s="543">
        <v>1</v>
      </c>
      <c r="W127" s="543">
        <v>3</v>
      </c>
      <c r="X127" s="543">
        <v>2</v>
      </c>
      <c r="Y127" s="543" t="s">
        <v>949</v>
      </c>
    </row>
    <row r="128" spans="3:25">
      <c r="C128" s="88" t="str">
        <f>'G-1 All Habitats'!B126</f>
        <v>Intertidal sediment - Littoral muddy sand</v>
      </c>
      <c r="D128" s="543" t="s">
        <v>949</v>
      </c>
      <c r="E128" s="543" t="s">
        <v>949</v>
      </c>
      <c r="F128" s="543" t="s">
        <v>949</v>
      </c>
      <c r="G128" s="543" t="s">
        <v>949</v>
      </c>
      <c r="H128" s="543" t="s">
        <v>949</v>
      </c>
      <c r="I128" s="543" t="s">
        <v>949</v>
      </c>
      <c r="J128" s="543" t="s">
        <v>949</v>
      </c>
      <c r="K128" s="543" t="s">
        <v>949</v>
      </c>
      <c r="L128" s="543" t="s">
        <v>949</v>
      </c>
      <c r="M128" s="543" t="s">
        <v>949</v>
      </c>
      <c r="N128" s="543" t="s">
        <v>949</v>
      </c>
      <c r="O128" s="543">
        <v>2</v>
      </c>
      <c r="P128" s="543">
        <v>4</v>
      </c>
      <c r="Q128" s="543">
        <v>6</v>
      </c>
      <c r="R128" s="543">
        <v>8</v>
      </c>
      <c r="S128" s="543">
        <v>2</v>
      </c>
      <c r="T128" s="543">
        <v>4</v>
      </c>
      <c r="U128" s="543">
        <v>6</v>
      </c>
      <c r="V128" s="543">
        <v>2</v>
      </c>
      <c r="W128" s="543">
        <v>4</v>
      </c>
      <c r="X128" s="543">
        <v>2</v>
      </c>
      <c r="Y128" s="543" t="s">
        <v>949</v>
      </c>
    </row>
    <row r="129" spans="3:25">
      <c r="C129" s="88" t="str">
        <f>'G-1 All Habitats'!B127</f>
        <v>Intertidal Hard Structures - Artificial hard structures</v>
      </c>
      <c r="D129" s="543" t="s">
        <v>949</v>
      </c>
      <c r="E129" s="543" t="s">
        <v>949</v>
      </c>
      <c r="F129" s="543" t="s">
        <v>949</v>
      </c>
      <c r="G129" s="543" t="s">
        <v>949</v>
      </c>
      <c r="H129" s="543" t="s">
        <v>949</v>
      </c>
      <c r="I129" s="543" t="s">
        <v>949</v>
      </c>
      <c r="J129" s="543" t="s">
        <v>949</v>
      </c>
      <c r="K129" s="543" t="s">
        <v>949</v>
      </c>
      <c r="L129" s="543" t="s">
        <v>949</v>
      </c>
      <c r="M129" s="543" t="s">
        <v>949</v>
      </c>
      <c r="N129" s="543" t="s">
        <v>949</v>
      </c>
      <c r="O129" s="543">
        <v>6</v>
      </c>
      <c r="P129" s="543">
        <v>4</v>
      </c>
      <c r="Q129" s="543">
        <v>10</v>
      </c>
      <c r="R129" s="543">
        <v>2</v>
      </c>
      <c r="S129" s="543">
        <v>2</v>
      </c>
      <c r="T129" s="543">
        <v>8</v>
      </c>
      <c r="U129" s="543">
        <v>6</v>
      </c>
      <c r="V129" s="543">
        <v>2</v>
      </c>
      <c r="W129" s="543">
        <v>12</v>
      </c>
      <c r="X129" s="543">
        <v>4</v>
      </c>
      <c r="Y129" s="543" t="s">
        <v>949</v>
      </c>
    </row>
    <row r="130" spans="3:25">
      <c r="C130" s="88" t="str">
        <f>'G-1 All Habitats'!B128</f>
        <v>Intertidal Hard Structures - Artificial features of hard structures</v>
      </c>
      <c r="D130" s="543" t="s">
        <v>949</v>
      </c>
      <c r="E130" s="543" t="s">
        <v>949</v>
      </c>
      <c r="F130" s="543" t="s">
        <v>949</v>
      </c>
      <c r="G130" s="543" t="s">
        <v>949</v>
      </c>
      <c r="H130" s="543" t="s">
        <v>949</v>
      </c>
      <c r="I130" s="543" t="s">
        <v>949</v>
      </c>
      <c r="J130" s="543" t="s">
        <v>949</v>
      </c>
      <c r="K130" s="543" t="s">
        <v>949</v>
      </c>
      <c r="L130" s="543" t="s">
        <v>949</v>
      </c>
      <c r="M130" s="543" t="s">
        <v>949</v>
      </c>
      <c r="N130" s="543" t="s">
        <v>949</v>
      </c>
      <c r="O130" s="543">
        <v>5</v>
      </c>
      <c r="P130" s="543">
        <v>4</v>
      </c>
      <c r="Q130" s="543">
        <v>9</v>
      </c>
      <c r="R130" s="543">
        <v>2</v>
      </c>
      <c r="S130" s="543">
        <v>2</v>
      </c>
      <c r="T130" s="543">
        <v>7</v>
      </c>
      <c r="U130" s="543">
        <v>6</v>
      </c>
      <c r="V130" s="543">
        <v>2</v>
      </c>
      <c r="W130" s="543">
        <v>11</v>
      </c>
      <c r="X130" s="543">
        <v>4</v>
      </c>
      <c r="Y130" s="543" t="s">
        <v>949</v>
      </c>
    </row>
    <row r="131" spans="3:25">
      <c r="C131" s="88" t="str">
        <f>'G-1 All Habitats'!B129</f>
        <v>Intertidal Hard Structures - Artificial hard structures with Integrated Greening of Grey Infrastructure (IGGI)</v>
      </c>
      <c r="D131" s="543" t="s">
        <v>949</v>
      </c>
      <c r="E131" s="543" t="s">
        <v>949</v>
      </c>
      <c r="F131" s="543" t="s">
        <v>949</v>
      </c>
      <c r="G131" s="543" t="s">
        <v>949</v>
      </c>
      <c r="H131" s="543" t="s">
        <v>949</v>
      </c>
      <c r="I131" s="543" t="s">
        <v>949</v>
      </c>
      <c r="J131" s="543" t="s">
        <v>949</v>
      </c>
      <c r="K131" s="543" t="s">
        <v>949</v>
      </c>
      <c r="L131" s="543" t="s">
        <v>949</v>
      </c>
      <c r="M131" s="543" t="s">
        <v>949</v>
      </c>
      <c r="N131" s="543" t="s">
        <v>949</v>
      </c>
      <c r="O131" s="543">
        <v>5</v>
      </c>
      <c r="P131" s="543">
        <v>4</v>
      </c>
      <c r="Q131" s="543">
        <v>9</v>
      </c>
      <c r="R131" s="543">
        <v>2</v>
      </c>
      <c r="S131" s="543">
        <v>2</v>
      </c>
      <c r="T131" s="543">
        <v>7</v>
      </c>
      <c r="U131" s="543">
        <v>6</v>
      </c>
      <c r="V131" s="543">
        <v>2</v>
      </c>
      <c r="W131" s="543">
        <v>11</v>
      </c>
      <c r="X131" s="543">
        <v>4</v>
      </c>
      <c r="Y131" s="543" t="s">
        <v>949</v>
      </c>
    </row>
    <row r="132" spans="3:25">
      <c r="C132" s="42"/>
    </row>
    <row r="133" spans="3:25">
      <c r="C133" s="42"/>
    </row>
    <row r="144" spans="3:25"/>
    <row r="276"/>
    <row r="277"/>
    <row r="278"/>
    <row r="279"/>
    <row r="280"/>
    <row r="281"/>
    <row r="282"/>
    <row r="283"/>
    <row r="284"/>
    <row r="285"/>
    <row r="286"/>
    <row r="287"/>
    <row r="288"/>
    <row r="289"/>
    <row r="290"/>
    <row r="291"/>
    <row r="29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bottomRight" sqref="A1:B1"/>
      <selection pane="bottomLeft" activeCell="S28" sqref="S28"/>
      <selection pane="topRight" activeCell="S28" sqref="S28"/>
    </sheetView>
  </sheetViews>
  <sheetFormatPr defaultColWidth="0" defaultRowHeight="13.9" zeroHeight="1"/>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c r="A1" s="1052"/>
      <c r="B1" s="1055"/>
      <c r="C1" s="1059" t="s">
        <v>191</v>
      </c>
      <c r="D1" s="1060"/>
      <c r="E1" s="1056" t="s">
        <v>977</v>
      </c>
      <c r="F1" s="1057"/>
      <c r="G1" s="1057"/>
      <c r="H1" s="1057"/>
      <c r="I1" s="1058"/>
      <c r="J1" s="1056" t="s">
        <v>978</v>
      </c>
      <c r="K1" s="1057"/>
      <c r="L1" s="1057"/>
      <c r="M1" s="1057"/>
      <c r="N1" s="1057"/>
      <c r="O1" s="1057"/>
      <c r="P1" s="1057"/>
      <c r="Q1" s="1057"/>
      <c r="R1" s="1058"/>
      <c r="S1" s="1056" t="s">
        <v>979</v>
      </c>
      <c r="T1" s="1057"/>
      <c r="U1" s="1057"/>
      <c r="V1" s="1057"/>
      <c r="W1" s="1057"/>
      <c r="X1" s="1057"/>
      <c r="Y1" s="1057"/>
      <c r="Z1" s="1057"/>
      <c r="AA1" s="1057"/>
      <c r="AB1" s="1057"/>
      <c r="AC1" s="1057"/>
      <c r="AD1" s="1057"/>
      <c r="AE1" s="1058"/>
      <c r="AF1" s="1059" t="s">
        <v>324</v>
      </c>
      <c r="AG1" s="1060"/>
      <c r="AH1" s="969" t="s">
        <v>980</v>
      </c>
      <c r="AJ1" s="1059" t="s">
        <v>981</v>
      </c>
      <c r="AK1" s="1060"/>
      <c r="AM1" s="174" t="s">
        <v>982</v>
      </c>
      <c r="AN1" s="1063" t="s">
        <v>983</v>
      </c>
      <c r="AO1" s="1063"/>
      <c r="AP1" s="1063"/>
      <c r="AQ1" s="1063"/>
      <c r="AR1" s="1063"/>
      <c r="AS1" s="1063"/>
      <c r="AT1" s="1063"/>
      <c r="AU1" s="1063"/>
      <c r="AV1" s="1063"/>
      <c r="AW1" s="1063"/>
      <c r="AX1" s="1063"/>
      <c r="AY1" s="1063"/>
      <c r="AZ1" s="1063"/>
      <c r="BK1" s="1061" t="s">
        <v>984</v>
      </c>
      <c r="BL1" s="1062"/>
    </row>
    <row r="2" spans="1:64" ht="182.25" customHeight="1" thickBot="1">
      <c r="B2" s="176" t="s">
        <v>837</v>
      </c>
      <c r="C2" s="173" t="s">
        <v>390</v>
      </c>
      <c r="D2" s="177" t="s">
        <v>391</v>
      </c>
      <c r="E2" s="173" t="s">
        <v>237</v>
      </c>
      <c r="F2" s="178"/>
      <c r="G2" s="178" t="s">
        <v>22</v>
      </c>
      <c r="H2" s="178"/>
      <c r="I2" s="177" t="s">
        <v>23</v>
      </c>
      <c r="J2" s="173"/>
      <c r="K2" s="178" t="s">
        <v>967</v>
      </c>
      <c r="L2" s="178"/>
      <c r="M2" s="178" t="s">
        <v>969</v>
      </c>
      <c r="N2" s="178"/>
      <c r="O2" s="178"/>
      <c r="P2" s="178"/>
      <c r="Q2" s="177" t="s">
        <v>974</v>
      </c>
      <c r="R2" s="179"/>
      <c r="S2" s="180" t="s">
        <v>109</v>
      </c>
      <c r="T2" s="181" t="s">
        <v>110</v>
      </c>
      <c r="U2" s="181" t="s">
        <v>985</v>
      </c>
      <c r="V2" s="181" t="s">
        <v>986</v>
      </c>
      <c r="W2" s="181" t="s">
        <v>113</v>
      </c>
      <c r="X2" s="181" t="s">
        <v>987</v>
      </c>
      <c r="Y2" s="181" t="s">
        <v>115</v>
      </c>
      <c r="Z2" s="181" t="s">
        <v>988</v>
      </c>
      <c r="AA2" s="181" t="s">
        <v>989</v>
      </c>
      <c r="AB2" s="181" t="s">
        <v>118</v>
      </c>
      <c r="AC2" s="181" t="s">
        <v>119</v>
      </c>
      <c r="AD2" s="181" t="s">
        <v>990</v>
      </c>
      <c r="AE2" s="181" t="s">
        <v>121</v>
      </c>
      <c r="AF2" s="173" t="s">
        <v>393</v>
      </c>
      <c r="AG2" s="177" t="s">
        <v>394</v>
      </c>
      <c r="AH2" s="996"/>
      <c r="AJ2" s="173" t="s">
        <v>991</v>
      </c>
      <c r="AK2" s="177" t="s">
        <v>992</v>
      </c>
      <c r="AM2" s="182" t="s">
        <v>993</v>
      </c>
      <c r="AN2" s="165" t="s">
        <v>109</v>
      </c>
      <c r="AO2" s="165" t="s">
        <v>110</v>
      </c>
      <c r="AP2" s="165" t="s">
        <v>111</v>
      </c>
      <c r="AQ2" s="165" t="s">
        <v>986</v>
      </c>
      <c r="AR2" s="165" t="s">
        <v>113</v>
      </c>
      <c r="AS2" s="165" t="s">
        <v>987</v>
      </c>
      <c r="AT2" s="165" t="s">
        <v>115</v>
      </c>
      <c r="AU2" s="165" t="s">
        <v>988</v>
      </c>
      <c r="AV2" s="165" t="s">
        <v>989</v>
      </c>
      <c r="AW2" s="165" t="s">
        <v>118</v>
      </c>
      <c r="AX2" s="165" t="s">
        <v>119</v>
      </c>
      <c r="AY2" s="165" t="s">
        <v>120</v>
      </c>
      <c r="AZ2" s="165" t="s">
        <v>121</v>
      </c>
      <c r="BK2" s="89" t="s">
        <v>994</v>
      </c>
      <c r="BL2" s="89" t="s">
        <v>995</v>
      </c>
    </row>
    <row r="3" spans="1:64" ht="30.75" customHeight="1" thickBot="1">
      <c r="A3" s="183"/>
      <c r="B3" s="637" t="s">
        <v>109</v>
      </c>
      <c r="C3" s="595" t="s">
        <v>409</v>
      </c>
      <c r="D3" s="596">
        <v>8</v>
      </c>
      <c r="E3" s="597">
        <v>1</v>
      </c>
      <c r="F3" s="598"/>
      <c r="G3" s="598">
        <v>10</v>
      </c>
      <c r="H3" s="598"/>
      <c r="I3" s="596">
        <v>20</v>
      </c>
      <c r="J3" s="597"/>
      <c r="K3" s="598">
        <v>6</v>
      </c>
      <c r="L3" s="598"/>
      <c r="M3" s="598">
        <v>10</v>
      </c>
      <c r="N3" s="598"/>
      <c r="O3" s="598"/>
      <c r="P3" s="598"/>
      <c r="Q3" s="596">
        <v>4</v>
      </c>
      <c r="R3" s="599"/>
      <c r="S3" s="600" t="s">
        <v>996</v>
      </c>
      <c r="T3" s="601" t="s">
        <v>996</v>
      </c>
      <c r="U3" s="601" t="s">
        <v>996</v>
      </c>
      <c r="V3" s="601" t="s">
        <v>996</v>
      </c>
      <c r="W3" s="601" t="s">
        <v>996</v>
      </c>
      <c r="X3" s="601" t="s">
        <v>996</v>
      </c>
      <c r="Y3" s="601" t="s">
        <v>996</v>
      </c>
      <c r="Z3" s="601" t="s">
        <v>996</v>
      </c>
      <c r="AA3" s="601" t="s">
        <v>996</v>
      </c>
      <c r="AB3" s="601" t="s">
        <v>996</v>
      </c>
      <c r="AC3" s="601" t="s">
        <v>996</v>
      </c>
      <c r="AD3" s="601" t="s">
        <v>996</v>
      </c>
      <c r="AE3" s="602" t="s">
        <v>996</v>
      </c>
      <c r="AF3" s="603" t="s">
        <v>158</v>
      </c>
      <c r="AG3" s="604" t="s">
        <v>158</v>
      </c>
      <c r="AH3" s="605" t="s">
        <v>997</v>
      </c>
      <c r="AJ3" s="185" t="s">
        <v>23</v>
      </c>
      <c r="AK3" s="613">
        <v>3</v>
      </c>
      <c r="AM3" s="184" t="s">
        <v>109</v>
      </c>
      <c r="AN3" s="601" t="s">
        <v>998</v>
      </c>
      <c r="AO3" s="616" t="s">
        <v>999</v>
      </c>
      <c r="AP3" s="601" t="s">
        <v>999</v>
      </c>
      <c r="AQ3" s="601" t="s">
        <v>999</v>
      </c>
      <c r="AR3" s="601" t="s">
        <v>999</v>
      </c>
      <c r="AS3" s="601" t="s">
        <v>999</v>
      </c>
      <c r="AT3" s="601" t="s">
        <v>999</v>
      </c>
      <c r="AU3" s="601" t="s">
        <v>999</v>
      </c>
      <c r="AV3" s="601" t="s">
        <v>999</v>
      </c>
      <c r="AW3" s="601" t="s">
        <v>999</v>
      </c>
      <c r="AX3" s="601" t="s">
        <v>999</v>
      </c>
      <c r="AY3" s="601" t="s">
        <v>999</v>
      </c>
      <c r="AZ3" s="601" t="s">
        <v>999</v>
      </c>
      <c r="BJ3" s="175" t="s">
        <v>994</v>
      </c>
      <c r="BK3" s="186" t="s">
        <v>23</v>
      </c>
      <c r="BL3" s="186" t="s">
        <v>237</v>
      </c>
    </row>
    <row r="4" spans="1:64" ht="30.75" customHeight="1" thickBot="1">
      <c r="A4" s="183"/>
      <c r="B4" s="638" t="s">
        <v>110</v>
      </c>
      <c r="C4" s="536" t="s">
        <v>155</v>
      </c>
      <c r="D4" s="604">
        <v>6</v>
      </c>
      <c r="E4" s="603">
        <v>1</v>
      </c>
      <c r="F4" s="543"/>
      <c r="G4" s="543">
        <v>10</v>
      </c>
      <c r="H4" s="543"/>
      <c r="I4" s="604">
        <v>20</v>
      </c>
      <c r="J4" s="603"/>
      <c r="K4" s="543">
        <v>6</v>
      </c>
      <c r="L4" s="543"/>
      <c r="M4" s="543">
        <v>10</v>
      </c>
      <c r="N4" s="543"/>
      <c r="O4" s="543"/>
      <c r="P4" s="543"/>
      <c r="Q4" s="604">
        <v>4</v>
      </c>
      <c r="R4" s="606"/>
      <c r="S4" s="603">
        <v>5</v>
      </c>
      <c r="T4" s="601" t="s">
        <v>996</v>
      </c>
      <c r="U4" s="601" t="s">
        <v>996</v>
      </c>
      <c r="V4" s="601" t="s">
        <v>996</v>
      </c>
      <c r="W4" s="601" t="s">
        <v>996</v>
      </c>
      <c r="X4" s="601" t="s">
        <v>996</v>
      </c>
      <c r="Y4" s="601" t="s">
        <v>996</v>
      </c>
      <c r="Z4" s="601" t="s">
        <v>996</v>
      </c>
      <c r="AA4" s="601" t="s">
        <v>996</v>
      </c>
      <c r="AB4" s="601" t="s">
        <v>996</v>
      </c>
      <c r="AC4" s="601" t="s">
        <v>996</v>
      </c>
      <c r="AD4" s="601" t="s">
        <v>996</v>
      </c>
      <c r="AE4" s="602" t="s">
        <v>996</v>
      </c>
      <c r="AF4" s="603" t="s">
        <v>158</v>
      </c>
      <c r="AG4" s="604" t="s">
        <v>158</v>
      </c>
      <c r="AH4" s="607" t="s">
        <v>1000</v>
      </c>
      <c r="AJ4" s="87" t="s">
        <v>22</v>
      </c>
      <c r="AK4" s="614">
        <v>2</v>
      </c>
      <c r="AM4" s="184" t="s">
        <v>110</v>
      </c>
      <c r="AN4" s="601" t="s">
        <v>1001</v>
      </c>
      <c r="AO4" s="616" t="s">
        <v>1002</v>
      </c>
      <c r="AP4" s="601" t="s">
        <v>1002</v>
      </c>
      <c r="AQ4" s="601" t="s">
        <v>1002</v>
      </c>
      <c r="AR4" s="601" t="s">
        <v>999</v>
      </c>
      <c r="AS4" s="601" t="s">
        <v>999</v>
      </c>
      <c r="AT4" s="601" t="s">
        <v>999</v>
      </c>
      <c r="AU4" s="601" t="s">
        <v>999</v>
      </c>
      <c r="AV4" s="601" t="s">
        <v>999</v>
      </c>
      <c r="AW4" s="601" t="s">
        <v>999</v>
      </c>
      <c r="AX4" s="601" t="s">
        <v>999</v>
      </c>
      <c r="AY4" s="601" t="s">
        <v>999</v>
      </c>
      <c r="AZ4" s="601" t="s">
        <v>999</v>
      </c>
      <c r="BJ4" s="175" t="s">
        <v>994</v>
      </c>
      <c r="BK4" s="186" t="s">
        <v>22</v>
      </c>
    </row>
    <row r="5" spans="1:64" ht="30.75" customHeight="1" thickBot="1">
      <c r="A5" s="183"/>
      <c r="B5" s="638" t="s">
        <v>111</v>
      </c>
      <c r="C5" s="536" t="s">
        <v>155</v>
      </c>
      <c r="D5" s="604">
        <v>6</v>
      </c>
      <c r="E5" s="603">
        <v>1</v>
      </c>
      <c r="F5" s="543"/>
      <c r="G5" s="543">
        <v>5</v>
      </c>
      <c r="H5" s="543"/>
      <c r="I5" s="604">
        <v>12</v>
      </c>
      <c r="J5" s="603"/>
      <c r="K5" s="543">
        <v>3</v>
      </c>
      <c r="L5" s="543"/>
      <c r="M5" s="543">
        <v>5</v>
      </c>
      <c r="N5" s="543"/>
      <c r="O5" s="543"/>
      <c r="P5" s="543"/>
      <c r="Q5" s="604">
        <v>2</v>
      </c>
      <c r="R5" s="606"/>
      <c r="S5" s="603">
        <v>10</v>
      </c>
      <c r="T5" s="601" t="s">
        <v>996</v>
      </c>
      <c r="U5" s="601" t="s">
        <v>996</v>
      </c>
      <c r="V5" s="601" t="s">
        <v>996</v>
      </c>
      <c r="W5" s="601" t="s">
        <v>996</v>
      </c>
      <c r="X5" s="601" t="s">
        <v>996</v>
      </c>
      <c r="Y5" s="601" t="s">
        <v>996</v>
      </c>
      <c r="Z5" s="601" t="s">
        <v>996</v>
      </c>
      <c r="AA5" s="601" t="s">
        <v>996</v>
      </c>
      <c r="AB5" s="601" t="s">
        <v>996</v>
      </c>
      <c r="AC5" s="601" t="s">
        <v>996</v>
      </c>
      <c r="AD5" s="601" t="s">
        <v>996</v>
      </c>
      <c r="AE5" s="602" t="s">
        <v>996</v>
      </c>
      <c r="AF5" s="603" t="s">
        <v>158</v>
      </c>
      <c r="AG5" s="604" t="s">
        <v>158</v>
      </c>
      <c r="AH5" s="607" t="s">
        <v>1000</v>
      </c>
      <c r="AJ5" s="89" t="s">
        <v>237</v>
      </c>
      <c r="AK5" s="615">
        <v>1</v>
      </c>
      <c r="AM5" s="184" t="s">
        <v>111</v>
      </c>
      <c r="AN5" s="601" t="s">
        <v>1001</v>
      </c>
      <c r="AO5" s="616" t="s">
        <v>1002</v>
      </c>
      <c r="AP5" s="601" t="s">
        <v>1002</v>
      </c>
      <c r="AQ5" s="601" t="s">
        <v>1002</v>
      </c>
      <c r="AR5" s="601" t="s">
        <v>999</v>
      </c>
      <c r="AS5" s="601" t="s">
        <v>999</v>
      </c>
      <c r="AT5" s="601" t="s">
        <v>999</v>
      </c>
      <c r="AU5" s="601" t="s">
        <v>999</v>
      </c>
      <c r="AV5" s="601" t="s">
        <v>999</v>
      </c>
      <c r="AW5" s="601" t="s">
        <v>999</v>
      </c>
      <c r="AX5" s="601" t="s">
        <v>999</v>
      </c>
      <c r="AY5" s="601" t="s">
        <v>999</v>
      </c>
      <c r="AZ5" s="601" t="s">
        <v>999</v>
      </c>
      <c r="BJ5" s="175" t="s">
        <v>994</v>
      </c>
      <c r="BK5" s="186" t="s">
        <v>237</v>
      </c>
    </row>
    <row r="6" spans="1:64" ht="30.75" customHeight="1" thickBot="1">
      <c r="A6" s="183"/>
      <c r="B6" s="638" t="s">
        <v>112</v>
      </c>
      <c r="C6" s="536" t="s">
        <v>155</v>
      </c>
      <c r="D6" s="604">
        <v>6</v>
      </c>
      <c r="E6" s="603">
        <v>1</v>
      </c>
      <c r="F6" s="543"/>
      <c r="G6" s="543">
        <v>10</v>
      </c>
      <c r="H6" s="543"/>
      <c r="I6" s="604">
        <v>20</v>
      </c>
      <c r="J6" s="603"/>
      <c r="K6" s="543">
        <v>6</v>
      </c>
      <c r="L6" s="543"/>
      <c r="M6" s="543">
        <v>10</v>
      </c>
      <c r="N6" s="543"/>
      <c r="O6" s="543"/>
      <c r="P6" s="543"/>
      <c r="Q6" s="604">
        <v>4</v>
      </c>
      <c r="R6" s="606"/>
      <c r="S6" s="603">
        <v>5</v>
      </c>
      <c r="T6" s="601" t="s">
        <v>996</v>
      </c>
      <c r="U6" s="601" t="s">
        <v>996</v>
      </c>
      <c r="V6" s="601" t="s">
        <v>996</v>
      </c>
      <c r="W6" s="601" t="s">
        <v>996</v>
      </c>
      <c r="X6" s="601" t="s">
        <v>996</v>
      </c>
      <c r="Y6" s="601" t="s">
        <v>996</v>
      </c>
      <c r="Z6" s="601" t="s">
        <v>996</v>
      </c>
      <c r="AA6" s="601" t="s">
        <v>996</v>
      </c>
      <c r="AB6" s="601" t="s">
        <v>996</v>
      </c>
      <c r="AC6" s="601" t="s">
        <v>996</v>
      </c>
      <c r="AD6" s="601" t="s">
        <v>996</v>
      </c>
      <c r="AE6" s="602" t="s">
        <v>996</v>
      </c>
      <c r="AF6" s="603" t="s">
        <v>158</v>
      </c>
      <c r="AG6" s="604" t="s">
        <v>158</v>
      </c>
      <c r="AH6" s="607" t="s">
        <v>1000</v>
      </c>
      <c r="AM6" s="184" t="s">
        <v>112</v>
      </c>
      <c r="AN6" s="616" t="s">
        <v>1001</v>
      </c>
      <c r="AO6" s="616" t="s">
        <v>1002</v>
      </c>
      <c r="AP6" s="616" t="s">
        <v>1002</v>
      </c>
      <c r="AQ6" s="616" t="s">
        <v>1002</v>
      </c>
      <c r="AR6" s="616" t="s">
        <v>999</v>
      </c>
      <c r="AS6" s="616" t="s">
        <v>999</v>
      </c>
      <c r="AT6" s="616" t="s">
        <v>999</v>
      </c>
      <c r="AU6" s="616" t="s">
        <v>999</v>
      </c>
      <c r="AV6" s="616" t="s">
        <v>999</v>
      </c>
      <c r="AW6" s="616" t="s">
        <v>999</v>
      </c>
      <c r="AX6" s="616" t="s">
        <v>999</v>
      </c>
      <c r="AY6" s="616" t="s">
        <v>999</v>
      </c>
      <c r="AZ6" s="616" t="s">
        <v>999</v>
      </c>
      <c r="BJ6" s="175" t="s">
        <v>994</v>
      </c>
    </row>
    <row r="7" spans="1:64" ht="42" thickBot="1">
      <c r="A7" s="183"/>
      <c r="B7" s="638" t="s">
        <v>113</v>
      </c>
      <c r="C7" s="536" t="s">
        <v>25</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996</v>
      </c>
      <c r="X7" s="601" t="s">
        <v>996</v>
      </c>
      <c r="Y7" s="601" t="s">
        <v>996</v>
      </c>
      <c r="Z7" s="601" t="s">
        <v>996</v>
      </c>
      <c r="AA7" s="601" t="s">
        <v>996</v>
      </c>
      <c r="AB7" s="601" t="s">
        <v>996</v>
      </c>
      <c r="AC7" s="601" t="s">
        <v>996</v>
      </c>
      <c r="AD7" s="601" t="s">
        <v>996</v>
      </c>
      <c r="AE7" s="602" t="s">
        <v>996</v>
      </c>
      <c r="AF7" s="603" t="s">
        <v>158</v>
      </c>
      <c r="AG7" s="604" t="s">
        <v>158</v>
      </c>
      <c r="AH7" s="607" t="s">
        <v>1000</v>
      </c>
      <c r="AM7" s="184" t="s">
        <v>113</v>
      </c>
      <c r="AN7" s="616" t="s">
        <v>1003</v>
      </c>
      <c r="AO7" s="519" t="s">
        <v>1004</v>
      </c>
      <c r="AP7" s="519" t="s">
        <v>1004</v>
      </c>
      <c r="AQ7" s="519" t="s">
        <v>1004</v>
      </c>
      <c r="AR7" s="519" t="s">
        <v>1005</v>
      </c>
      <c r="AS7" s="519" t="s">
        <v>1005</v>
      </c>
      <c r="AT7" s="519" t="s">
        <v>1005</v>
      </c>
      <c r="AU7" s="519" t="s">
        <v>1006</v>
      </c>
      <c r="AV7" s="519" t="s">
        <v>1006</v>
      </c>
      <c r="AW7" s="616" t="s">
        <v>999</v>
      </c>
      <c r="AX7" s="616" t="s">
        <v>999</v>
      </c>
      <c r="AY7" s="616" t="s">
        <v>999</v>
      </c>
      <c r="AZ7" s="616" t="s">
        <v>999</v>
      </c>
      <c r="BJ7" s="175" t="s">
        <v>994</v>
      </c>
    </row>
    <row r="8" spans="1:64" ht="42" thickBot="1">
      <c r="A8" s="183"/>
      <c r="B8" s="638" t="s">
        <v>114</v>
      </c>
      <c r="C8" s="536" t="s">
        <v>25</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996</v>
      </c>
      <c r="X8" s="601" t="s">
        <v>996</v>
      </c>
      <c r="Y8" s="601" t="s">
        <v>996</v>
      </c>
      <c r="Z8" s="601" t="s">
        <v>996</v>
      </c>
      <c r="AA8" s="601" t="s">
        <v>996</v>
      </c>
      <c r="AB8" s="601" t="s">
        <v>996</v>
      </c>
      <c r="AC8" s="601" t="s">
        <v>996</v>
      </c>
      <c r="AD8" s="601" t="s">
        <v>996</v>
      </c>
      <c r="AE8" s="602" t="s">
        <v>996</v>
      </c>
      <c r="AF8" s="603" t="s">
        <v>158</v>
      </c>
      <c r="AG8" s="604" t="s">
        <v>158</v>
      </c>
      <c r="AH8" s="607" t="s">
        <v>1000</v>
      </c>
      <c r="AM8" s="184" t="s">
        <v>114</v>
      </c>
      <c r="AN8" s="616" t="s">
        <v>1003</v>
      </c>
      <c r="AO8" s="519" t="s">
        <v>1004</v>
      </c>
      <c r="AP8" s="519" t="s">
        <v>1004</v>
      </c>
      <c r="AQ8" s="519" t="s">
        <v>1004</v>
      </c>
      <c r="AR8" s="519" t="s">
        <v>1005</v>
      </c>
      <c r="AS8" s="519" t="s">
        <v>1005</v>
      </c>
      <c r="AT8" s="519" t="s">
        <v>1005</v>
      </c>
      <c r="AU8" s="519" t="s">
        <v>1006</v>
      </c>
      <c r="AV8" s="519" t="s">
        <v>1006</v>
      </c>
      <c r="AW8" s="616" t="s">
        <v>999</v>
      </c>
      <c r="AX8" s="616" t="s">
        <v>999</v>
      </c>
      <c r="AY8" s="616" t="s">
        <v>999</v>
      </c>
      <c r="AZ8" s="616" t="s">
        <v>999</v>
      </c>
      <c r="BJ8" s="175" t="s">
        <v>994</v>
      </c>
    </row>
    <row r="9" spans="1:64" ht="28.15" thickBot="1">
      <c r="B9" s="638" t="s">
        <v>115</v>
      </c>
      <c r="C9" s="536" t="s">
        <v>25</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996</v>
      </c>
      <c r="X9" s="601" t="s">
        <v>996</v>
      </c>
      <c r="Y9" s="601" t="s">
        <v>996</v>
      </c>
      <c r="Z9" s="601" t="s">
        <v>996</v>
      </c>
      <c r="AA9" s="601" t="s">
        <v>996</v>
      </c>
      <c r="AB9" s="601" t="s">
        <v>996</v>
      </c>
      <c r="AC9" s="601" t="s">
        <v>996</v>
      </c>
      <c r="AD9" s="601" t="s">
        <v>996</v>
      </c>
      <c r="AE9" s="602" t="s">
        <v>996</v>
      </c>
      <c r="AF9" s="603" t="s">
        <v>158</v>
      </c>
      <c r="AG9" s="604" t="s">
        <v>158</v>
      </c>
      <c r="AH9" s="607" t="s">
        <v>1000</v>
      </c>
      <c r="AM9" s="184" t="s">
        <v>115</v>
      </c>
      <c r="AN9" s="616" t="s">
        <v>1003</v>
      </c>
      <c r="AO9" s="519" t="s">
        <v>1004</v>
      </c>
      <c r="AP9" s="519" t="s">
        <v>1004</v>
      </c>
      <c r="AQ9" s="519" t="s">
        <v>1004</v>
      </c>
      <c r="AR9" s="519" t="s">
        <v>1005</v>
      </c>
      <c r="AS9" s="519" t="s">
        <v>1005</v>
      </c>
      <c r="AT9" s="519" t="s">
        <v>1005</v>
      </c>
      <c r="AU9" s="519" t="s">
        <v>1005</v>
      </c>
      <c r="AV9" s="519" t="s">
        <v>1005</v>
      </c>
      <c r="AW9" s="616" t="s">
        <v>999</v>
      </c>
      <c r="AX9" s="616" t="s">
        <v>999</v>
      </c>
      <c r="AY9" s="616" t="s">
        <v>999</v>
      </c>
      <c r="AZ9" s="616" t="s">
        <v>999</v>
      </c>
      <c r="BJ9" s="175" t="s">
        <v>994</v>
      </c>
    </row>
    <row r="10" spans="1:64" ht="42" thickBot="1">
      <c r="B10" s="638" t="s">
        <v>116</v>
      </c>
      <c r="C10" s="536" t="s">
        <v>25</v>
      </c>
      <c r="D10" s="604">
        <v>4</v>
      </c>
      <c r="E10" s="603">
        <v>5</v>
      </c>
      <c r="F10" s="543"/>
      <c r="G10" s="543">
        <v>20</v>
      </c>
      <c r="H10" s="543"/>
      <c r="I10" s="604" t="s">
        <v>950</v>
      </c>
      <c r="J10" s="603"/>
      <c r="K10" s="543">
        <v>20</v>
      </c>
      <c r="L10" s="543"/>
      <c r="M10" s="543">
        <v>30</v>
      </c>
      <c r="N10" s="543"/>
      <c r="O10" s="543"/>
      <c r="P10" s="543"/>
      <c r="Q10" s="604">
        <v>10</v>
      </c>
      <c r="R10" s="606"/>
      <c r="S10" s="603">
        <v>12</v>
      </c>
      <c r="T10" s="543">
        <v>12</v>
      </c>
      <c r="U10" s="601" t="s">
        <v>996</v>
      </c>
      <c r="V10" s="543">
        <v>12</v>
      </c>
      <c r="W10" s="601" t="s">
        <v>996</v>
      </c>
      <c r="X10" s="601" t="s">
        <v>996</v>
      </c>
      <c r="Y10" s="601" t="s">
        <v>996</v>
      </c>
      <c r="Z10" s="601" t="s">
        <v>996</v>
      </c>
      <c r="AA10" s="601" t="s">
        <v>996</v>
      </c>
      <c r="AB10" s="601" t="s">
        <v>996</v>
      </c>
      <c r="AC10" s="601" t="s">
        <v>996</v>
      </c>
      <c r="AD10" s="601" t="s">
        <v>996</v>
      </c>
      <c r="AE10" s="602" t="s">
        <v>996</v>
      </c>
      <c r="AF10" s="603" t="s">
        <v>158</v>
      </c>
      <c r="AG10" s="604" t="s">
        <v>158</v>
      </c>
      <c r="AH10" s="607" t="s">
        <v>1000</v>
      </c>
      <c r="AM10" s="184" t="s">
        <v>988</v>
      </c>
      <c r="AN10" s="616" t="s">
        <v>1003</v>
      </c>
      <c r="AO10" s="519" t="s">
        <v>1004</v>
      </c>
      <c r="AP10" s="519" t="s">
        <v>1006</v>
      </c>
      <c r="AQ10" s="519" t="s">
        <v>1004</v>
      </c>
      <c r="AR10" s="519" t="s">
        <v>1006</v>
      </c>
      <c r="AS10" s="519" t="s">
        <v>1006</v>
      </c>
      <c r="AT10" s="519" t="s">
        <v>1005</v>
      </c>
      <c r="AU10" s="519" t="s">
        <v>1005</v>
      </c>
      <c r="AV10" s="519" t="s">
        <v>1005</v>
      </c>
      <c r="AW10" s="616" t="s">
        <v>999</v>
      </c>
      <c r="AX10" s="616" t="s">
        <v>999</v>
      </c>
      <c r="AY10" s="616" t="s">
        <v>999</v>
      </c>
      <c r="AZ10" s="616" t="s">
        <v>999</v>
      </c>
      <c r="BJ10" s="175" t="s">
        <v>994</v>
      </c>
    </row>
    <row r="11" spans="1:64" ht="42" thickBot="1">
      <c r="B11" s="638" t="s">
        <v>117</v>
      </c>
      <c r="C11" s="536" t="s">
        <v>25</v>
      </c>
      <c r="D11" s="604">
        <v>4</v>
      </c>
      <c r="E11" s="603">
        <v>5</v>
      </c>
      <c r="F11" s="543"/>
      <c r="G11" s="543">
        <v>20</v>
      </c>
      <c r="H11" s="543"/>
      <c r="I11" s="604" t="s">
        <v>950</v>
      </c>
      <c r="J11" s="603"/>
      <c r="K11" s="543">
        <v>20</v>
      </c>
      <c r="L11" s="543"/>
      <c r="M11" s="543">
        <v>30</v>
      </c>
      <c r="N11" s="543"/>
      <c r="O11" s="543"/>
      <c r="P11" s="543"/>
      <c r="Q11" s="604">
        <v>10</v>
      </c>
      <c r="R11" s="606"/>
      <c r="S11" s="603">
        <v>12</v>
      </c>
      <c r="T11" s="543">
        <v>12</v>
      </c>
      <c r="U11" s="601" t="s">
        <v>996</v>
      </c>
      <c r="V11" s="543">
        <v>12</v>
      </c>
      <c r="W11" s="601" t="s">
        <v>996</v>
      </c>
      <c r="X11" s="601" t="s">
        <v>996</v>
      </c>
      <c r="Y11" s="601" t="s">
        <v>996</v>
      </c>
      <c r="Z11" s="601" t="s">
        <v>996</v>
      </c>
      <c r="AA11" s="601" t="s">
        <v>996</v>
      </c>
      <c r="AB11" s="601" t="s">
        <v>996</v>
      </c>
      <c r="AC11" s="601" t="s">
        <v>996</v>
      </c>
      <c r="AD11" s="601" t="s">
        <v>996</v>
      </c>
      <c r="AE11" s="602" t="s">
        <v>996</v>
      </c>
      <c r="AF11" s="603" t="s">
        <v>158</v>
      </c>
      <c r="AG11" s="604" t="s">
        <v>158</v>
      </c>
      <c r="AH11" s="607" t="s">
        <v>1000</v>
      </c>
      <c r="AM11" s="184" t="s">
        <v>989</v>
      </c>
      <c r="AN11" s="616" t="s">
        <v>1003</v>
      </c>
      <c r="AO11" s="519" t="s">
        <v>1004</v>
      </c>
      <c r="AP11" s="519" t="s">
        <v>1006</v>
      </c>
      <c r="AQ11" s="519" t="s">
        <v>1004</v>
      </c>
      <c r="AR11" s="519" t="s">
        <v>1006</v>
      </c>
      <c r="AS11" s="519" t="s">
        <v>1006</v>
      </c>
      <c r="AT11" s="519" t="s">
        <v>1005</v>
      </c>
      <c r="AU11" s="519" t="s">
        <v>1005</v>
      </c>
      <c r="AV11" s="519" t="s">
        <v>1005</v>
      </c>
      <c r="AW11" s="616" t="s">
        <v>999</v>
      </c>
      <c r="AX11" s="616" t="s">
        <v>999</v>
      </c>
      <c r="AY11" s="616" t="s">
        <v>999</v>
      </c>
      <c r="AZ11" s="616" t="s">
        <v>999</v>
      </c>
      <c r="BJ11" s="175" t="s">
        <v>994</v>
      </c>
    </row>
    <row r="12" spans="1:64" ht="42" thickBot="1">
      <c r="B12" s="638" t="s">
        <v>118</v>
      </c>
      <c r="C12" s="536" t="s">
        <v>158</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996</v>
      </c>
      <c r="AA12" s="601" t="s">
        <v>996</v>
      </c>
      <c r="AB12" s="601" t="s">
        <v>996</v>
      </c>
      <c r="AC12" s="601" t="s">
        <v>996</v>
      </c>
      <c r="AD12" s="601" t="s">
        <v>996</v>
      </c>
      <c r="AE12" s="602" t="s">
        <v>996</v>
      </c>
      <c r="AF12" s="603" t="s">
        <v>158</v>
      </c>
      <c r="AG12" s="604" t="s">
        <v>158</v>
      </c>
      <c r="AH12" s="607" t="s">
        <v>1007</v>
      </c>
      <c r="AM12" s="184" t="s">
        <v>118</v>
      </c>
      <c r="AN12" s="616" t="s">
        <v>1008</v>
      </c>
      <c r="AO12" s="616" t="s">
        <v>1009</v>
      </c>
      <c r="AP12" s="616" t="s">
        <v>1009</v>
      </c>
      <c r="AQ12" s="616" t="s">
        <v>1009</v>
      </c>
      <c r="AR12" s="616" t="s">
        <v>1010</v>
      </c>
      <c r="AS12" s="616" t="s">
        <v>1010</v>
      </c>
      <c r="AT12" s="616" t="s">
        <v>1010</v>
      </c>
      <c r="AU12" s="519" t="s">
        <v>1006</v>
      </c>
      <c r="AV12" s="519" t="s">
        <v>1006</v>
      </c>
      <c r="AW12" s="519" t="s">
        <v>1011</v>
      </c>
      <c r="AX12" s="519" t="s">
        <v>1006</v>
      </c>
      <c r="AY12" s="519" t="s">
        <v>1006</v>
      </c>
      <c r="AZ12" s="616" t="s">
        <v>999</v>
      </c>
      <c r="BJ12" s="175" t="s">
        <v>994</v>
      </c>
    </row>
    <row r="13" spans="1:64" ht="42" thickBot="1">
      <c r="B13" s="638" t="s">
        <v>119</v>
      </c>
      <c r="C13" s="536" t="s">
        <v>158</v>
      </c>
      <c r="D13" s="604">
        <v>2</v>
      </c>
      <c r="E13" s="603">
        <v>5</v>
      </c>
      <c r="F13" s="543"/>
      <c r="G13" s="543">
        <v>20</v>
      </c>
      <c r="H13" s="543"/>
      <c r="I13" s="604" t="s">
        <v>950</v>
      </c>
      <c r="J13" s="603"/>
      <c r="K13" s="543">
        <v>20</v>
      </c>
      <c r="L13" s="543"/>
      <c r="M13" s="543">
        <v>30</v>
      </c>
      <c r="N13" s="543"/>
      <c r="O13" s="543"/>
      <c r="P13" s="543"/>
      <c r="Q13" s="604">
        <v>10</v>
      </c>
      <c r="R13" s="606"/>
      <c r="S13" s="603">
        <v>12</v>
      </c>
      <c r="T13" s="543">
        <v>12</v>
      </c>
      <c r="U13" s="601" t="s">
        <v>996</v>
      </c>
      <c r="V13" s="543">
        <v>12</v>
      </c>
      <c r="W13" s="601" t="s">
        <v>996</v>
      </c>
      <c r="X13" s="601" t="s">
        <v>996</v>
      </c>
      <c r="Y13" s="543">
        <v>12</v>
      </c>
      <c r="Z13" s="601" t="s">
        <v>996</v>
      </c>
      <c r="AA13" s="601" t="s">
        <v>996</v>
      </c>
      <c r="AB13" s="601" t="s">
        <v>996</v>
      </c>
      <c r="AC13" s="601" t="s">
        <v>996</v>
      </c>
      <c r="AD13" s="601" t="s">
        <v>996</v>
      </c>
      <c r="AE13" s="602" t="s">
        <v>996</v>
      </c>
      <c r="AF13" s="603" t="s">
        <v>158</v>
      </c>
      <c r="AG13" s="604" t="s">
        <v>158</v>
      </c>
      <c r="AH13" s="607" t="s">
        <v>1007</v>
      </c>
      <c r="AM13" s="184" t="s">
        <v>119</v>
      </c>
      <c r="AN13" s="616" t="s">
        <v>1008</v>
      </c>
      <c r="AO13" s="616" t="s">
        <v>1009</v>
      </c>
      <c r="AP13" s="519" t="s">
        <v>1006</v>
      </c>
      <c r="AQ13" s="616" t="s">
        <v>1009</v>
      </c>
      <c r="AR13" s="519" t="s">
        <v>1006</v>
      </c>
      <c r="AS13" s="519" t="s">
        <v>1006</v>
      </c>
      <c r="AT13" s="616" t="s">
        <v>1010</v>
      </c>
      <c r="AU13" s="519" t="s">
        <v>1006</v>
      </c>
      <c r="AV13" s="519" t="s">
        <v>1006</v>
      </c>
      <c r="AW13" s="519" t="s">
        <v>1006</v>
      </c>
      <c r="AX13" s="519" t="s">
        <v>1011</v>
      </c>
      <c r="AY13" s="519" t="s">
        <v>1011</v>
      </c>
      <c r="AZ13" s="616" t="s">
        <v>999</v>
      </c>
      <c r="BJ13" s="175" t="s">
        <v>994</v>
      </c>
    </row>
    <row r="14" spans="1:64" ht="42" thickBot="1">
      <c r="B14" s="638" t="s">
        <v>120</v>
      </c>
      <c r="C14" s="536" t="s">
        <v>158</v>
      </c>
      <c r="D14" s="604">
        <v>2</v>
      </c>
      <c r="E14" s="603">
        <v>5</v>
      </c>
      <c r="F14" s="543"/>
      <c r="G14" s="543">
        <v>20</v>
      </c>
      <c r="H14" s="543"/>
      <c r="I14" s="604" t="s">
        <v>950</v>
      </c>
      <c r="J14" s="603"/>
      <c r="K14" s="543">
        <v>20</v>
      </c>
      <c r="L14" s="543"/>
      <c r="M14" s="543">
        <v>30</v>
      </c>
      <c r="N14" s="543"/>
      <c r="O14" s="543"/>
      <c r="P14" s="543"/>
      <c r="Q14" s="604">
        <v>10</v>
      </c>
      <c r="R14" s="606"/>
      <c r="S14" s="603">
        <v>12</v>
      </c>
      <c r="T14" s="543">
        <v>12</v>
      </c>
      <c r="U14" s="601" t="s">
        <v>996</v>
      </c>
      <c r="V14" s="543">
        <v>12</v>
      </c>
      <c r="W14" s="601" t="s">
        <v>996</v>
      </c>
      <c r="X14" s="601" t="s">
        <v>996</v>
      </c>
      <c r="Y14" s="543">
        <v>12</v>
      </c>
      <c r="Z14" s="601" t="s">
        <v>996</v>
      </c>
      <c r="AA14" s="601" t="s">
        <v>996</v>
      </c>
      <c r="AB14" s="601" t="s">
        <v>996</v>
      </c>
      <c r="AC14" s="601" t="s">
        <v>996</v>
      </c>
      <c r="AD14" s="601" t="s">
        <v>996</v>
      </c>
      <c r="AE14" s="602" t="s">
        <v>996</v>
      </c>
      <c r="AF14" s="603" t="s">
        <v>158</v>
      </c>
      <c r="AG14" s="604" t="s">
        <v>158</v>
      </c>
      <c r="AH14" s="607" t="s">
        <v>1007</v>
      </c>
      <c r="AM14" s="184" t="s">
        <v>120</v>
      </c>
      <c r="AN14" s="616" t="s">
        <v>1008</v>
      </c>
      <c r="AO14" s="616" t="s">
        <v>1009</v>
      </c>
      <c r="AP14" s="519" t="s">
        <v>1006</v>
      </c>
      <c r="AQ14" s="616" t="s">
        <v>1009</v>
      </c>
      <c r="AR14" s="519" t="s">
        <v>1006</v>
      </c>
      <c r="AS14" s="519" t="s">
        <v>1006</v>
      </c>
      <c r="AT14" s="616" t="s">
        <v>1010</v>
      </c>
      <c r="AU14" s="519" t="s">
        <v>1006</v>
      </c>
      <c r="AV14" s="519" t="s">
        <v>1006</v>
      </c>
      <c r="AW14" s="519" t="s">
        <v>1006</v>
      </c>
      <c r="AX14" s="519" t="s">
        <v>1011</v>
      </c>
      <c r="AY14" s="519" t="s">
        <v>1011</v>
      </c>
      <c r="AZ14" s="616" t="s">
        <v>999</v>
      </c>
      <c r="BJ14" s="175" t="s">
        <v>994</v>
      </c>
    </row>
    <row r="15" spans="1:64" ht="42" thickBot="1">
      <c r="B15" s="639" t="s">
        <v>121</v>
      </c>
      <c r="C15" s="499" t="s">
        <v>429</v>
      </c>
      <c r="D15" s="594">
        <v>1</v>
      </c>
      <c r="E15" s="608">
        <v>1</v>
      </c>
      <c r="F15" s="525"/>
      <c r="G15" s="525" t="s">
        <v>939</v>
      </c>
      <c r="H15" s="525"/>
      <c r="I15" s="594" t="s">
        <v>939</v>
      </c>
      <c r="J15" s="608"/>
      <c r="K15" s="525" t="s">
        <v>939</v>
      </c>
      <c r="L15" s="525"/>
      <c r="M15" s="525" t="s">
        <v>939</v>
      </c>
      <c r="N15" s="525"/>
      <c r="O15" s="525"/>
      <c r="P15" s="525"/>
      <c r="Q15" s="594" t="s">
        <v>939</v>
      </c>
      <c r="R15" s="609"/>
      <c r="S15" s="610" t="s">
        <v>996</v>
      </c>
      <c r="T15" s="611" t="s">
        <v>996</v>
      </c>
      <c r="U15" s="611" t="s">
        <v>996</v>
      </c>
      <c r="V15" s="611" t="s">
        <v>996</v>
      </c>
      <c r="W15" s="611" t="s">
        <v>996</v>
      </c>
      <c r="X15" s="611" t="s">
        <v>996</v>
      </c>
      <c r="Y15" s="611" t="s">
        <v>996</v>
      </c>
      <c r="Z15" s="611" t="s">
        <v>996</v>
      </c>
      <c r="AA15" s="611" t="s">
        <v>996</v>
      </c>
      <c r="AB15" s="611" t="s">
        <v>996</v>
      </c>
      <c r="AC15" s="611" t="s">
        <v>996</v>
      </c>
      <c r="AD15" s="611" t="s">
        <v>996</v>
      </c>
      <c r="AE15" s="612" t="s">
        <v>996</v>
      </c>
      <c r="AF15" s="608" t="s">
        <v>158</v>
      </c>
      <c r="AG15" s="594" t="s">
        <v>158</v>
      </c>
      <c r="AH15" s="567" t="s">
        <v>1007</v>
      </c>
      <c r="AM15" s="184" t="s">
        <v>121</v>
      </c>
      <c r="AN15" s="519" t="s">
        <v>1006</v>
      </c>
      <c r="AO15" s="519" t="s">
        <v>1006</v>
      </c>
      <c r="AP15" s="519" t="s">
        <v>1006</v>
      </c>
      <c r="AQ15" s="519" t="s">
        <v>1006</v>
      </c>
      <c r="AR15" s="519" t="s">
        <v>1006</v>
      </c>
      <c r="AS15" s="519" t="s">
        <v>1006</v>
      </c>
      <c r="AT15" s="519" t="s">
        <v>1006</v>
      </c>
      <c r="AU15" s="519" t="s">
        <v>1006</v>
      </c>
      <c r="AV15" s="519" t="s">
        <v>1006</v>
      </c>
      <c r="AW15" s="519" t="s">
        <v>1006</v>
      </c>
      <c r="AX15" s="519" t="s">
        <v>1006</v>
      </c>
      <c r="AY15" s="519" t="s">
        <v>1006</v>
      </c>
      <c r="AZ15" s="519" t="s">
        <v>1012</v>
      </c>
      <c r="BJ15" s="175" t="s">
        <v>995</v>
      </c>
    </row>
    <row r="16" spans="1:64">
      <c r="Q16" s="46"/>
    </row>
    <row r="17" spans="17:17">
      <c r="Q17" s="31"/>
    </row>
    <row r="18" spans="17:17">
      <c r="Q18" s="31"/>
    </row>
    <row r="19" spans="17:17">
      <c r="Q19" s="31"/>
    </row>
    <row r="20" spans="17:17" ht="184.5" hidden="1" customHeight="1"/>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3.9" zeroHeight="1"/>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4.45" thickBot="1">
      <c r="A1" s="1052"/>
      <c r="B1" s="1052"/>
    </row>
    <row r="2" spans="1:55" ht="31.5" customHeight="1" thickBot="1">
      <c r="A2" s="1052"/>
      <c r="B2" s="1052"/>
      <c r="C2" s="1066" t="s">
        <v>191</v>
      </c>
      <c r="D2" s="1067"/>
      <c r="E2" s="1056" t="s">
        <v>324</v>
      </c>
      <c r="F2" s="1057"/>
      <c r="G2" s="1057"/>
      <c r="H2" s="1056" t="s">
        <v>981</v>
      </c>
      <c r="I2" s="1057"/>
      <c r="J2" s="1057"/>
      <c r="K2" s="1057"/>
      <c r="L2" s="1058"/>
      <c r="N2" s="1068" t="s">
        <v>1013</v>
      </c>
      <c r="O2" s="1069"/>
      <c r="Q2" s="1064" t="s">
        <v>1014</v>
      </c>
      <c r="R2" s="1065"/>
      <c r="T2" s="1005" t="s">
        <v>1015</v>
      </c>
      <c r="U2" s="1011"/>
      <c r="V2" s="1011"/>
      <c r="W2" s="1011"/>
      <c r="X2" s="1011"/>
      <c r="Y2" s="1073"/>
      <c r="AA2" s="1074" t="s">
        <v>1016</v>
      </c>
      <c r="AB2" s="1075"/>
      <c r="AC2" s="132"/>
      <c r="AD2" s="1074" t="s">
        <v>1016</v>
      </c>
      <c r="AE2" s="1075"/>
      <c r="AG2" s="1074" t="s">
        <v>1017</v>
      </c>
      <c r="AH2" s="1076"/>
      <c r="AI2" s="1075"/>
      <c r="AK2" s="1074" t="s">
        <v>1017</v>
      </c>
      <c r="AL2" s="1076"/>
      <c r="AM2" s="1075"/>
      <c r="AO2" s="832" t="s">
        <v>1017</v>
      </c>
      <c r="AP2" s="1070"/>
      <c r="AQ2" s="288"/>
      <c r="AS2" s="1033" t="s">
        <v>1018</v>
      </c>
      <c r="AT2" s="1071"/>
      <c r="AU2" s="1072"/>
      <c r="AY2" s="289"/>
      <c r="AZ2" s="290" t="s">
        <v>202</v>
      </c>
      <c r="BB2" s="289" t="s">
        <v>1019</v>
      </c>
      <c r="BC2" s="290" t="s">
        <v>1020</v>
      </c>
    </row>
    <row r="3" spans="1:55" ht="42" thickBot="1">
      <c r="B3" s="291" t="s">
        <v>837</v>
      </c>
      <c r="C3" s="265" t="s">
        <v>390</v>
      </c>
      <c r="D3" s="136" t="s">
        <v>391</v>
      </c>
      <c r="E3" s="640" t="s">
        <v>393</v>
      </c>
      <c r="F3" s="136" t="s">
        <v>394</v>
      </c>
      <c r="G3" s="642" t="s">
        <v>980</v>
      </c>
      <c r="H3" s="641" t="s">
        <v>23</v>
      </c>
      <c r="I3" s="292" t="s">
        <v>226</v>
      </c>
      <c r="J3" s="292" t="s">
        <v>22</v>
      </c>
      <c r="K3" s="292" t="s">
        <v>425</v>
      </c>
      <c r="L3" s="293" t="s">
        <v>237</v>
      </c>
      <c r="N3" s="643" t="s">
        <v>23</v>
      </c>
      <c r="O3" s="503">
        <v>10</v>
      </c>
      <c r="Q3" s="343" t="s">
        <v>982</v>
      </c>
      <c r="R3" s="594">
        <v>10</v>
      </c>
      <c r="T3" s="265"/>
      <c r="U3" s="1005" t="s">
        <v>1021</v>
      </c>
      <c r="V3" s="1011"/>
      <c r="W3" s="1011"/>
      <c r="X3" s="1011"/>
      <c r="Y3" s="1073"/>
      <c r="AA3" s="265" t="s">
        <v>1022</v>
      </c>
      <c r="AB3" s="264" t="s">
        <v>1023</v>
      </c>
      <c r="AC3" s="132"/>
      <c r="AD3" s="265" t="s">
        <v>1024</v>
      </c>
      <c r="AE3" s="264" t="s">
        <v>1023</v>
      </c>
      <c r="AG3" s="264" t="s">
        <v>1025</v>
      </c>
      <c r="AH3" s="263" t="s">
        <v>68</v>
      </c>
      <c r="AI3" s="136" t="s">
        <v>1026</v>
      </c>
      <c r="AK3" s="264" t="s">
        <v>1025</v>
      </c>
      <c r="AL3" s="263" t="s">
        <v>68</v>
      </c>
      <c r="AM3" s="136" t="s">
        <v>1026</v>
      </c>
      <c r="AO3" s="294" t="s">
        <v>1025</v>
      </c>
      <c r="AP3" s="136" t="s">
        <v>1026</v>
      </c>
      <c r="AS3" s="289" t="s">
        <v>1027</v>
      </c>
      <c r="AT3" s="295" t="s">
        <v>1028</v>
      </c>
      <c r="AU3" s="290" t="s">
        <v>1029</v>
      </c>
      <c r="AY3" s="296" t="s">
        <v>141</v>
      </c>
      <c r="AZ3" s="297" t="s">
        <v>1019</v>
      </c>
      <c r="BB3" s="143" t="s">
        <v>23</v>
      </c>
      <c r="BC3" s="144" t="s">
        <v>237</v>
      </c>
    </row>
    <row r="4" spans="1:55" ht="28.15" thickBot="1">
      <c r="B4" s="88" t="s">
        <v>141</v>
      </c>
      <c r="C4" s="570" t="s">
        <v>409</v>
      </c>
      <c r="D4" s="519">
        <v>8</v>
      </c>
      <c r="E4" s="585" t="s">
        <v>155</v>
      </c>
      <c r="F4" s="585" t="s">
        <v>25</v>
      </c>
      <c r="G4" s="593" t="s">
        <v>1030</v>
      </c>
      <c r="H4" s="585">
        <v>3</v>
      </c>
      <c r="I4" s="585">
        <v>2.5</v>
      </c>
      <c r="J4" s="585">
        <v>2</v>
      </c>
      <c r="K4" s="585">
        <v>1.5</v>
      </c>
      <c r="L4" s="593">
        <v>1</v>
      </c>
      <c r="M4" s="22"/>
      <c r="N4" s="130" t="s">
        <v>226</v>
      </c>
      <c r="O4" s="519">
        <v>8</v>
      </c>
      <c r="T4" s="167" t="s">
        <v>1031</v>
      </c>
      <c r="U4" s="644" t="s">
        <v>237</v>
      </c>
      <c r="V4" s="298" t="s">
        <v>425</v>
      </c>
      <c r="W4" s="298" t="s">
        <v>22</v>
      </c>
      <c r="X4" s="298" t="s">
        <v>226</v>
      </c>
      <c r="Y4" s="298" t="s">
        <v>23</v>
      </c>
      <c r="AA4" s="104" t="s">
        <v>1032</v>
      </c>
      <c r="AB4" s="543">
        <v>1</v>
      </c>
      <c r="AC4" s="132"/>
      <c r="AD4" s="104" t="s">
        <v>1032</v>
      </c>
      <c r="AE4" s="543">
        <v>1</v>
      </c>
      <c r="AG4" s="104" t="s">
        <v>1033</v>
      </c>
      <c r="AH4" s="519" t="s">
        <v>937</v>
      </c>
      <c r="AI4" s="543">
        <v>1</v>
      </c>
      <c r="AK4" s="104" t="s">
        <v>1033</v>
      </c>
      <c r="AL4" s="519" t="s">
        <v>937</v>
      </c>
      <c r="AM4" s="543">
        <v>1</v>
      </c>
      <c r="AO4" s="130" t="s">
        <v>1034</v>
      </c>
      <c r="AP4" s="543">
        <v>1</v>
      </c>
      <c r="AS4" s="299" t="s">
        <v>409</v>
      </c>
      <c r="AT4" s="520">
        <v>8</v>
      </c>
      <c r="AU4" s="647" t="s">
        <v>1035</v>
      </c>
      <c r="AY4" s="87" t="s">
        <v>142</v>
      </c>
      <c r="AZ4" s="297" t="s">
        <v>1019</v>
      </c>
      <c r="BB4" s="187" t="s">
        <v>226</v>
      </c>
      <c r="BC4" s="300"/>
    </row>
    <row r="5" spans="1:55" ht="27.6">
      <c r="B5" s="88" t="s">
        <v>142</v>
      </c>
      <c r="C5" s="570" t="s">
        <v>155</v>
      </c>
      <c r="D5" s="519">
        <v>6</v>
      </c>
      <c r="E5" s="585" t="s">
        <v>155</v>
      </c>
      <c r="F5" s="585" t="s">
        <v>25</v>
      </c>
      <c r="G5" s="593" t="s">
        <v>1030</v>
      </c>
      <c r="H5" s="585">
        <v>3</v>
      </c>
      <c r="I5" s="585">
        <v>2.5</v>
      </c>
      <c r="J5" s="585">
        <v>2</v>
      </c>
      <c r="K5" s="585">
        <v>1.5</v>
      </c>
      <c r="L5" s="593">
        <v>1</v>
      </c>
      <c r="M5" s="22"/>
      <c r="N5" s="130" t="s">
        <v>22</v>
      </c>
      <c r="O5" s="519">
        <v>5</v>
      </c>
      <c r="T5" s="130" t="s">
        <v>237</v>
      </c>
      <c r="U5" s="645">
        <v>1</v>
      </c>
      <c r="V5" s="584">
        <v>2</v>
      </c>
      <c r="W5" s="584">
        <v>4</v>
      </c>
      <c r="X5" s="584">
        <v>6</v>
      </c>
      <c r="Y5" s="584">
        <v>8</v>
      </c>
      <c r="AA5" s="104" t="s">
        <v>1036</v>
      </c>
      <c r="AB5" s="543">
        <v>0.8</v>
      </c>
      <c r="AC5" s="132"/>
      <c r="AD5" s="104" t="s">
        <v>1036</v>
      </c>
      <c r="AE5" s="543">
        <v>0.95</v>
      </c>
      <c r="AG5" s="104" t="s">
        <v>1037</v>
      </c>
      <c r="AH5" s="519" t="s">
        <v>931</v>
      </c>
      <c r="AI5" s="543">
        <v>1.1499999999999999</v>
      </c>
      <c r="AK5" s="104" t="s">
        <v>1038</v>
      </c>
      <c r="AL5" s="519" t="s">
        <v>931</v>
      </c>
      <c r="AM5" s="543">
        <v>1.1499999999999999</v>
      </c>
      <c r="AO5" s="130" t="s">
        <v>1039</v>
      </c>
      <c r="AP5" s="543">
        <v>0.75</v>
      </c>
      <c r="AS5" s="266" t="s">
        <v>155</v>
      </c>
      <c r="AT5" s="543">
        <v>6</v>
      </c>
      <c r="AU5" s="523" t="s">
        <v>1040</v>
      </c>
      <c r="AY5" s="87" t="s">
        <v>143</v>
      </c>
      <c r="AZ5" s="297" t="s">
        <v>1019</v>
      </c>
      <c r="BB5" s="187" t="s">
        <v>22</v>
      </c>
      <c r="BC5" s="300"/>
    </row>
    <row r="6" spans="1:55" ht="27.6">
      <c r="B6" s="88" t="s">
        <v>143</v>
      </c>
      <c r="C6" s="570" t="s">
        <v>25</v>
      </c>
      <c r="D6" s="543">
        <v>4</v>
      </c>
      <c r="E6" s="585" t="s">
        <v>158</v>
      </c>
      <c r="F6" s="585" t="s">
        <v>25</v>
      </c>
      <c r="G6" s="593" t="s">
        <v>1030</v>
      </c>
      <c r="H6" s="585">
        <v>3</v>
      </c>
      <c r="I6" s="585">
        <v>2.5</v>
      </c>
      <c r="J6" s="585">
        <v>2</v>
      </c>
      <c r="K6" s="585">
        <v>1.5</v>
      </c>
      <c r="L6" s="593">
        <v>1</v>
      </c>
      <c r="M6" s="22"/>
      <c r="N6" s="130" t="s">
        <v>425</v>
      </c>
      <c r="O6" s="519">
        <v>2</v>
      </c>
      <c r="T6" s="130" t="s">
        <v>425</v>
      </c>
      <c r="U6" s="646" t="s">
        <v>939</v>
      </c>
      <c r="V6" s="585">
        <v>1</v>
      </c>
      <c r="W6" s="585">
        <v>2</v>
      </c>
      <c r="X6" s="585">
        <v>4</v>
      </c>
      <c r="Y6" s="585">
        <v>6</v>
      </c>
      <c r="AA6" s="104" t="s">
        <v>1041</v>
      </c>
      <c r="AB6" s="543">
        <v>0.5</v>
      </c>
      <c r="AC6" s="132"/>
      <c r="AD6" s="104" t="s">
        <v>22</v>
      </c>
      <c r="AE6" s="543">
        <v>0.85</v>
      </c>
      <c r="AG6" s="104" t="s">
        <v>1042</v>
      </c>
      <c r="AH6" s="519" t="s">
        <v>931</v>
      </c>
      <c r="AI6" s="543">
        <v>1.1499999999999999</v>
      </c>
      <c r="AK6" s="104" t="s">
        <v>1043</v>
      </c>
      <c r="AL6" s="519" t="s">
        <v>931</v>
      </c>
      <c r="AM6" s="543">
        <v>1.1499999999999999</v>
      </c>
      <c r="AO6" s="130" t="s">
        <v>1044</v>
      </c>
      <c r="AP6" s="543">
        <v>0.5</v>
      </c>
      <c r="AS6" s="266" t="s">
        <v>25</v>
      </c>
      <c r="AT6" s="543">
        <v>4</v>
      </c>
      <c r="AU6" s="523" t="s">
        <v>1045</v>
      </c>
      <c r="AY6" s="87" t="s">
        <v>144</v>
      </c>
      <c r="AZ6" s="297" t="s">
        <v>1019</v>
      </c>
      <c r="BB6" s="187" t="s">
        <v>425</v>
      </c>
      <c r="BC6" s="300"/>
    </row>
    <row r="7" spans="1:55" ht="28.15" thickBot="1">
      <c r="B7" s="88" t="s">
        <v>144</v>
      </c>
      <c r="C7" s="570" t="s">
        <v>25</v>
      </c>
      <c r="D7" s="543">
        <v>4</v>
      </c>
      <c r="E7" s="585" t="s">
        <v>158</v>
      </c>
      <c r="F7" s="585" t="s">
        <v>25</v>
      </c>
      <c r="G7" s="593" t="s">
        <v>1030</v>
      </c>
      <c r="H7" s="585">
        <v>3</v>
      </c>
      <c r="I7" s="585">
        <v>2.5</v>
      </c>
      <c r="J7" s="585">
        <v>2</v>
      </c>
      <c r="K7" s="585">
        <v>1.5</v>
      </c>
      <c r="L7" s="593">
        <v>1</v>
      </c>
      <c r="M7" s="22"/>
      <c r="N7" s="130" t="s">
        <v>237</v>
      </c>
      <c r="O7" s="519">
        <v>1</v>
      </c>
      <c r="T7" s="130" t="s">
        <v>22</v>
      </c>
      <c r="U7" s="646" t="s">
        <v>939</v>
      </c>
      <c r="V7" s="585" t="s">
        <v>939</v>
      </c>
      <c r="W7" s="585">
        <v>1</v>
      </c>
      <c r="X7" s="585">
        <v>2</v>
      </c>
      <c r="Y7" s="585">
        <v>4</v>
      </c>
      <c r="AA7" s="104" t="s">
        <v>1046</v>
      </c>
      <c r="AB7" s="543">
        <v>1</v>
      </c>
      <c r="AC7" s="132"/>
      <c r="AD7" s="104" t="s">
        <v>1041</v>
      </c>
      <c r="AE7" s="543">
        <v>0.75</v>
      </c>
      <c r="AG7" s="104" t="s">
        <v>1047</v>
      </c>
      <c r="AH7" s="519" t="s">
        <v>931</v>
      </c>
      <c r="AI7" s="543">
        <v>1.1499999999999999</v>
      </c>
      <c r="AK7" s="104" t="s">
        <v>1048</v>
      </c>
      <c r="AL7" s="519" t="s">
        <v>931</v>
      </c>
      <c r="AM7" s="543">
        <v>1.1499999999999999</v>
      </c>
      <c r="AO7" s="301"/>
      <c r="AP7" s="301"/>
      <c r="AS7" s="261" t="s">
        <v>158</v>
      </c>
      <c r="AT7" s="525">
        <v>2</v>
      </c>
      <c r="AU7" s="594" t="s">
        <v>1049</v>
      </c>
      <c r="AY7" s="89" t="s">
        <v>145</v>
      </c>
      <c r="AZ7" s="297" t="s">
        <v>1020</v>
      </c>
      <c r="BB7" s="189" t="s">
        <v>237</v>
      </c>
      <c r="BC7" s="302"/>
    </row>
    <row r="8" spans="1:55" ht="27.6">
      <c r="B8" s="110" t="s">
        <v>145</v>
      </c>
      <c r="C8" s="570" t="s">
        <v>158</v>
      </c>
      <c r="D8" s="543">
        <v>2</v>
      </c>
      <c r="E8" s="585" t="s">
        <v>158</v>
      </c>
      <c r="F8" s="585" t="s">
        <v>25</v>
      </c>
      <c r="G8" s="593" t="s">
        <v>1030</v>
      </c>
      <c r="H8" s="585" t="s">
        <v>949</v>
      </c>
      <c r="I8" s="585" t="s">
        <v>949</v>
      </c>
      <c r="J8" s="585" t="s">
        <v>949</v>
      </c>
      <c r="K8" s="585" t="s">
        <v>949</v>
      </c>
      <c r="L8" s="593">
        <v>1</v>
      </c>
      <c r="M8" s="22"/>
      <c r="T8" s="130" t="s">
        <v>226</v>
      </c>
      <c r="U8" s="646" t="s">
        <v>939</v>
      </c>
      <c r="V8" s="585" t="s">
        <v>939</v>
      </c>
      <c r="W8" s="585" t="s">
        <v>939</v>
      </c>
      <c r="X8" s="585">
        <v>1</v>
      </c>
      <c r="Y8" s="585">
        <v>2</v>
      </c>
      <c r="AC8" s="132"/>
      <c r="AG8" s="104" t="s">
        <v>1050</v>
      </c>
      <c r="AH8" s="519" t="s">
        <v>931</v>
      </c>
      <c r="AI8" s="543">
        <v>1.1499999999999999</v>
      </c>
      <c r="AK8" s="104" t="s">
        <v>1051</v>
      </c>
      <c r="AL8" s="519" t="s">
        <v>931</v>
      </c>
      <c r="AM8" s="543">
        <v>1.1499999999999999</v>
      </c>
    </row>
    <row r="9" spans="1:55" ht="27.6">
      <c r="T9" s="130" t="s">
        <v>23</v>
      </c>
      <c r="U9" s="646" t="s">
        <v>939</v>
      </c>
      <c r="V9" s="585" t="s">
        <v>939</v>
      </c>
      <c r="W9" s="585" t="s">
        <v>939</v>
      </c>
      <c r="X9" s="585" t="s">
        <v>939</v>
      </c>
      <c r="Y9" s="585">
        <v>1</v>
      </c>
      <c r="AG9" s="104" t="s">
        <v>1052</v>
      </c>
      <c r="AH9" s="519" t="s">
        <v>931</v>
      </c>
      <c r="AI9" s="543">
        <v>1.1499999999999999</v>
      </c>
      <c r="AK9" s="104" t="s">
        <v>1053</v>
      </c>
      <c r="AL9" s="519" t="s">
        <v>931</v>
      </c>
      <c r="AM9" s="543">
        <v>1.1499999999999999</v>
      </c>
    </row>
    <row r="10" spans="1:55">
      <c r="AF10" s="132"/>
    </row>
    <row r="11" spans="1:55">
      <c r="AF11" s="132"/>
    </row>
    <row r="12" spans="1:55">
      <c r="AF12" s="132"/>
    </row>
    <row r="13" spans="1:55">
      <c r="AF13" s="132"/>
      <c r="AG13" s="132"/>
      <c r="AH13" s="132"/>
    </row>
    <row r="14" spans="1:55">
      <c r="AF14" s="132"/>
    </row>
    <row r="15" spans="1:55"/>
    <row r="16" spans="1:55"/>
    <row r="17"/>
    <row r="18"/>
    <row r="19"/>
    <row r="20"/>
    <row r="21"/>
    <row r="22"/>
    <row r="23"/>
    <row r="24"/>
    <row r="25"/>
    <row r="26"/>
    <row r="27"/>
    <row r="28"/>
    <row r="29"/>
    <row r="30"/>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bottomRight" sqref="A1:A2"/>
      <selection pane="bottomLeft" activeCell="S28" sqref="S28"/>
      <selection pane="topRight" activeCell="S28" sqref="S28"/>
    </sheetView>
  </sheetViews>
  <sheetFormatPr defaultColWidth="0" defaultRowHeight="0" customHeight="1" zeroHeight="1"/>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c r="A1" s="1079"/>
      <c r="B1" s="280"/>
      <c r="C1" s="280"/>
      <c r="D1" s="280"/>
      <c r="E1" s="280"/>
      <c r="F1" s="280"/>
      <c r="G1" s="280"/>
      <c r="H1" s="305"/>
    </row>
    <row r="2" spans="1:14" ht="29.45" customHeight="1">
      <c r="A2" s="1080"/>
      <c r="B2" s="1077" t="s">
        <v>981</v>
      </c>
      <c r="C2" s="1077"/>
      <c r="D2" s="1077"/>
      <c r="E2" s="1077"/>
      <c r="F2" s="1077"/>
      <c r="G2" s="1077"/>
      <c r="H2" s="1078"/>
    </row>
    <row r="3" spans="1:14" ht="27.6">
      <c r="A3" s="282" t="s">
        <v>837</v>
      </c>
      <c r="B3" s="104" t="s">
        <v>23</v>
      </c>
      <c r="C3" s="104" t="s">
        <v>226</v>
      </c>
      <c r="D3" s="104" t="s">
        <v>22</v>
      </c>
      <c r="E3" s="104" t="s">
        <v>425</v>
      </c>
      <c r="F3" s="130" t="s">
        <v>237</v>
      </c>
      <c r="G3" s="130" t="s">
        <v>231</v>
      </c>
      <c r="H3" s="104" t="s">
        <v>248</v>
      </c>
      <c r="I3" s="31" t="s">
        <v>202</v>
      </c>
      <c r="J3" s="1081" t="s">
        <v>1054</v>
      </c>
      <c r="K3" s="1082"/>
      <c r="L3" s="1082"/>
      <c r="M3" s="1083"/>
    </row>
    <row r="4" spans="1:14" ht="13.9">
      <c r="A4" s="88" t="str">
        <f>'G-1 All Habitats'!B3</f>
        <v>Cropland - Arable field margins cultivated annually</v>
      </c>
      <c r="B4" s="543" t="s">
        <v>949</v>
      </c>
      <c r="C4" s="543" t="s">
        <v>949</v>
      </c>
      <c r="D4" s="543" t="s">
        <v>949</v>
      </c>
      <c r="E4" s="543" t="s">
        <v>949</v>
      </c>
      <c r="F4" s="543" t="s">
        <v>949</v>
      </c>
      <c r="G4" s="543">
        <v>1</v>
      </c>
      <c r="H4" s="543" t="s">
        <v>949</v>
      </c>
      <c r="I4" s="31" t="str">
        <f>IF(G4=1,"Cond1",IF(H4=0,"Cond2",IF(AND(B4=3,C4=2.5,D4=2,E4=1.5,F4=1),"Cond4",IF(F4=1,"Cond3","Check"))))</f>
        <v>Cond1</v>
      </c>
      <c r="J4" s="304" t="s">
        <v>1055</v>
      </c>
      <c r="K4" s="304" t="s">
        <v>1056</v>
      </c>
      <c r="L4" s="304" t="s">
        <v>1057</v>
      </c>
      <c r="M4" s="304" t="s">
        <v>1058</v>
      </c>
      <c r="N4" s="31" t="s">
        <v>1059</v>
      </c>
    </row>
    <row r="5" spans="1:14" ht="13.9">
      <c r="A5" s="88" t="str">
        <f>'G-1 All Habitats'!B4</f>
        <v>Cropland - Arable field margins game bird mix</v>
      </c>
      <c r="B5" s="543" t="s">
        <v>949</v>
      </c>
      <c r="C5" s="543" t="s">
        <v>949</v>
      </c>
      <c r="D5" s="543" t="s">
        <v>949</v>
      </c>
      <c r="E5" s="543" t="s">
        <v>949</v>
      </c>
      <c r="F5" s="543" t="s">
        <v>949</v>
      </c>
      <c r="G5" s="543">
        <v>1</v>
      </c>
      <c r="H5" s="543" t="s">
        <v>949</v>
      </c>
      <c r="I5" s="31" t="str">
        <f t="shared" ref="I5:I8" si="0">IF(G5=1,"Cond1",IF(H5=0,"Cond2",IF(AND(B5=3,C5=2.5,D5=2,E5=1.5,F5=1),"Cond4",IF(F5=1,"Cond3","Check"))))</f>
        <v>Cond1</v>
      </c>
      <c r="J5" s="216" t="s">
        <v>231</v>
      </c>
      <c r="K5" s="216" t="s">
        <v>248</v>
      </c>
      <c r="L5" s="277" t="s">
        <v>237</v>
      </c>
      <c r="M5" s="216" t="s">
        <v>23</v>
      </c>
      <c r="N5" s="31" t="s">
        <v>23</v>
      </c>
    </row>
    <row r="6" spans="1:14" ht="13.9">
      <c r="A6" s="88" t="str">
        <f>'G-1 All Habitats'!B5</f>
        <v>Cropland - Arable field margins pollen &amp; nectar</v>
      </c>
      <c r="B6" s="543" t="s">
        <v>949</v>
      </c>
      <c r="C6" s="543" t="s">
        <v>949</v>
      </c>
      <c r="D6" s="543" t="s">
        <v>949</v>
      </c>
      <c r="E6" s="543" t="s">
        <v>949</v>
      </c>
      <c r="F6" s="543" t="s">
        <v>949</v>
      </c>
      <c r="G6" s="543">
        <v>1</v>
      </c>
      <c r="H6" s="543" t="s">
        <v>949</v>
      </c>
      <c r="I6" s="31" t="str">
        <f t="shared" si="0"/>
        <v>Cond1</v>
      </c>
      <c r="M6" s="216" t="s">
        <v>226</v>
      </c>
    </row>
    <row r="7" spans="1:14" ht="13.9">
      <c r="A7" s="88" t="str">
        <f>'G-1 All Habitats'!B6</f>
        <v>Cropland - Arable field margins tussocky</v>
      </c>
      <c r="B7" s="543" t="s">
        <v>949</v>
      </c>
      <c r="C7" s="543" t="s">
        <v>949</v>
      </c>
      <c r="D7" s="543" t="s">
        <v>949</v>
      </c>
      <c r="E7" s="543" t="s">
        <v>949</v>
      </c>
      <c r="F7" s="543" t="s">
        <v>949</v>
      </c>
      <c r="G7" s="543">
        <v>1</v>
      </c>
      <c r="H7" s="543" t="s">
        <v>949</v>
      </c>
      <c r="I7" s="31" t="str">
        <f t="shared" si="0"/>
        <v>Cond1</v>
      </c>
      <c r="M7" s="216" t="s">
        <v>22</v>
      </c>
    </row>
    <row r="8" spans="1:14" ht="13.9">
      <c r="A8" s="88" t="str">
        <f>'G-1 All Habitats'!B7</f>
        <v>Cropland - Cereal crops</v>
      </c>
      <c r="B8" s="543" t="s">
        <v>949</v>
      </c>
      <c r="C8" s="543" t="s">
        <v>949</v>
      </c>
      <c r="D8" s="543" t="s">
        <v>949</v>
      </c>
      <c r="E8" s="543" t="s">
        <v>949</v>
      </c>
      <c r="F8" s="543" t="s">
        <v>949</v>
      </c>
      <c r="G8" s="543">
        <v>1</v>
      </c>
      <c r="H8" s="543" t="s">
        <v>949</v>
      </c>
      <c r="I8" s="31" t="str">
        <f t="shared" si="0"/>
        <v>Cond1</v>
      </c>
      <c r="M8" s="216" t="s">
        <v>425</v>
      </c>
    </row>
    <row r="9" spans="1:14" ht="13.9">
      <c r="A9" s="88" t="str">
        <f>'G-1 All Habitats'!B8</f>
        <v>Cropland - Cereal crops winter stubble</v>
      </c>
      <c r="B9" s="543" t="s">
        <v>949</v>
      </c>
      <c r="C9" s="543" t="s">
        <v>949</v>
      </c>
      <c r="D9" s="543" t="s">
        <v>949</v>
      </c>
      <c r="E9" s="543" t="s">
        <v>949</v>
      </c>
      <c r="F9" s="543" t="s">
        <v>949</v>
      </c>
      <c r="G9" s="543">
        <v>1</v>
      </c>
      <c r="H9" s="543" t="s">
        <v>949</v>
      </c>
      <c r="I9" s="31" t="str">
        <f t="shared" ref="I9:I40" si="1">IF(G9=1,"Cond1",IF(H9=0,"Cond2",IF(AND(B9=3,C9=2.5,D9=2,E9=1.5,F9=1),"Cond4",IF(F9=1,"Cond3","Check"))))</f>
        <v>Cond1</v>
      </c>
      <c r="M9" s="277" t="s">
        <v>237</v>
      </c>
    </row>
    <row r="10" spans="1:14" ht="13.9">
      <c r="A10" s="88" t="str">
        <f>'G-1 All Habitats'!B9</f>
        <v>Cropland - Horticulture</v>
      </c>
      <c r="B10" s="543" t="s">
        <v>949</v>
      </c>
      <c r="C10" s="543" t="s">
        <v>949</v>
      </c>
      <c r="D10" s="543" t="s">
        <v>949</v>
      </c>
      <c r="E10" s="543" t="s">
        <v>949</v>
      </c>
      <c r="F10" s="543" t="s">
        <v>949</v>
      </c>
      <c r="G10" s="543">
        <v>1</v>
      </c>
      <c r="H10" s="543" t="s">
        <v>949</v>
      </c>
      <c r="I10" s="31" t="str">
        <f t="shared" si="1"/>
        <v>Cond1</v>
      </c>
    </row>
    <row r="11" spans="1:14" ht="13.9">
      <c r="A11" s="88" t="str">
        <f>'G-1 All Habitats'!B10</f>
        <v>Cropland - Intensive orchards</v>
      </c>
      <c r="B11" s="543" t="s">
        <v>949</v>
      </c>
      <c r="C11" s="543" t="s">
        <v>949</v>
      </c>
      <c r="D11" s="543" t="s">
        <v>949</v>
      </c>
      <c r="E11" s="543" t="s">
        <v>949</v>
      </c>
      <c r="F11" s="543" t="s">
        <v>949</v>
      </c>
      <c r="G11" s="543">
        <v>1</v>
      </c>
      <c r="H11" s="543" t="s">
        <v>949</v>
      </c>
      <c r="I11" s="31" t="str">
        <f t="shared" si="1"/>
        <v>Cond1</v>
      </c>
    </row>
    <row r="12" spans="1:14" ht="13.9">
      <c r="A12" s="88" t="str">
        <f>'G-1 All Habitats'!B11</f>
        <v>Cropland - Non-cereal crops</v>
      </c>
      <c r="B12" s="543" t="s">
        <v>949</v>
      </c>
      <c r="C12" s="543" t="s">
        <v>949</v>
      </c>
      <c r="D12" s="543" t="s">
        <v>949</v>
      </c>
      <c r="E12" s="543" t="s">
        <v>949</v>
      </c>
      <c r="F12" s="543" t="s">
        <v>949</v>
      </c>
      <c r="G12" s="543">
        <v>1</v>
      </c>
      <c r="H12" s="543" t="s">
        <v>949</v>
      </c>
      <c r="I12" s="31" t="str">
        <f t="shared" si="1"/>
        <v>Cond1</v>
      </c>
    </row>
    <row r="13" spans="1:14" ht="13.9">
      <c r="A13" s="88" t="str">
        <f>'G-1 All Habitats'!B12</f>
        <v>Cropland - Temporary grass and clover leys</v>
      </c>
      <c r="B13" s="543" t="s">
        <v>949</v>
      </c>
      <c r="C13" s="543" t="s">
        <v>949</v>
      </c>
      <c r="D13" s="543" t="s">
        <v>949</v>
      </c>
      <c r="E13" s="543" t="s">
        <v>949</v>
      </c>
      <c r="F13" s="543" t="s">
        <v>949</v>
      </c>
      <c r="G13" s="543">
        <v>1</v>
      </c>
      <c r="H13" s="543" t="s">
        <v>949</v>
      </c>
      <c r="I13" s="31" t="str">
        <f t="shared" si="1"/>
        <v>Cond1</v>
      </c>
    </row>
    <row r="14" spans="1:14" ht="13.9">
      <c r="A14" s="88" t="str">
        <f>'G-1 All Habitats'!B13</f>
        <v>Grassland - Traditional orchards</v>
      </c>
      <c r="B14" s="543">
        <v>3</v>
      </c>
      <c r="C14" s="543">
        <v>2.5</v>
      </c>
      <c r="D14" s="543">
        <v>2</v>
      </c>
      <c r="E14" s="543">
        <v>1.5</v>
      </c>
      <c r="F14" s="543">
        <v>1</v>
      </c>
      <c r="G14" s="543" t="s">
        <v>949</v>
      </c>
      <c r="H14" s="543" t="s">
        <v>949</v>
      </c>
      <c r="I14" s="31" t="str">
        <f t="shared" si="1"/>
        <v>Cond4</v>
      </c>
    </row>
    <row r="15" spans="1:14" ht="13.9">
      <c r="A15" s="88" t="str">
        <f>'G-1 All Habitats'!B14</f>
        <v>Grassland - Bracken</v>
      </c>
      <c r="B15" s="543" t="s">
        <v>949</v>
      </c>
      <c r="C15" s="543" t="s">
        <v>949</v>
      </c>
      <c r="D15" s="543" t="s">
        <v>949</v>
      </c>
      <c r="E15" s="543" t="s">
        <v>949</v>
      </c>
      <c r="F15" s="543" t="s">
        <v>949</v>
      </c>
      <c r="G15" s="543">
        <v>1</v>
      </c>
      <c r="H15" s="543" t="s">
        <v>949</v>
      </c>
      <c r="I15" s="31" t="str">
        <f t="shared" si="1"/>
        <v>Cond1</v>
      </c>
    </row>
    <row r="16" spans="1:14" ht="13.9">
      <c r="A16" s="88" t="str">
        <f>'G-1 All Habitats'!B15</f>
        <v>Grassland - Floodplain Wetland Mosaic (CFGM)</v>
      </c>
      <c r="B16" s="543">
        <v>3</v>
      </c>
      <c r="C16" s="543">
        <v>2.5</v>
      </c>
      <c r="D16" s="543">
        <v>2</v>
      </c>
      <c r="E16" s="543">
        <v>1.5</v>
      </c>
      <c r="F16" s="543">
        <v>1</v>
      </c>
      <c r="G16" s="543" t="s">
        <v>949</v>
      </c>
      <c r="H16" s="543" t="s">
        <v>949</v>
      </c>
      <c r="I16" s="31" t="str">
        <f t="shared" si="1"/>
        <v>Cond4</v>
      </c>
    </row>
    <row r="17" spans="1:9" ht="13.9">
      <c r="A17" s="88" t="str">
        <f>'G-1 All Habitats'!B16</f>
        <v>Grassland - Lowland calcareous grassland</v>
      </c>
      <c r="B17" s="543">
        <v>3</v>
      </c>
      <c r="C17" s="543">
        <v>2.5</v>
      </c>
      <c r="D17" s="543">
        <v>2</v>
      </c>
      <c r="E17" s="543">
        <v>1.5</v>
      </c>
      <c r="F17" s="543">
        <v>1</v>
      </c>
      <c r="G17" s="543" t="s">
        <v>949</v>
      </c>
      <c r="H17" s="543" t="s">
        <v>949</v>
      </c>
      <c r="I17" s="31" t="str">
        <f t="shared" si="1"/>
        <v>Cond4</v>
      </c>
    </row>
    <row r="18" spans="1:9" ht="13.9">
      <c r="A18" s="88" t="str">
        <f>'G-1 All Habitats'!B17</f>
        <v>Grassland - Lowland dry acid grassland</v>
      </c>
      <c r="B18" s="543">
        <v>3</v>
      </c>
      <c r="C18" s="543">
        <v>2.5</v>
      </c>
      <c r="D18" s="543">
        <v>2</v>
      </c>
      <c r="E18" s="543">
        <v>1.5</v>
      </c>
      <c r="F18" s="543">
        <v>1</v>
      </c>
      <c r="G18" s="543" t="s">
        <v>949</v>
      </c>
      <c r="H18" s="543" t="s">
        <v>949</v>
      </c>
      <c r="I18" s="31" t="str">
        <f t="shared" si="1"/>
        <v>Cond4</v>
      </c>
    </row>
    <row r="19" spans="1:9" ht="13.9">
      <c r="A19" s="88" t="str">
        <f>'G-1 All Habitats'!B18</f>
        <v>Grassland - Lowland meadows</v>
      </c>
      <c r="B19" s="543">
        <v>3</v>
      </c>
      <c r="C19" s="543">
        <v>2.5</v>
      </c>
      <c r="D19" s="543">
        <v>2</v>
      </c>
      <c r="E19" s="543">
        <v>1.5</v>
      </c>
      <c r="F19" s="543">
        <v>1</v>
      </c>
      <c r="G19" s="543" t="s">
        <v>949</v>
      </c>
      <c r="H19" s="543" t="s">
        <v>949</v>
      </c>
      <c r="I19" s="31" t="str">
        <f t="shared" si="1"/>
        <v>Cond4</v>
      </c>
    </row>
    <row r="20" spans="1:9" ht="13.9">
      <c r="A20" s="88" t="str">
        <f>'G-1 All Habitats'!B19</f>
        <v>Grassland - Modified grassland</v>
      </c>
      <c r="B20" s="543">
        <v>3</v>
      </c>
      <c r="C20" s="543">
        <v>2.5</v>
      </c>
      <c r="D20" s="543">
        <v>2</v>
      </c>
      <c r="E20" s="543">
        <v>1.5</v>
      </c>
      <c r="F20" s="543">
        <v>1</v>
      </c>
      <c r="G20" s="543" t="s">
        <v>949</v>
      </c>
      <c r="H20" s="543" t="s">
        <v>949</v>
      </c>
      <c r="I20" s="31" t="str">
        <f t="shared" si="1"/>
        <v>Cond4</v>
      </c>
    </row>
    <row r="21" spans="1:9" ht="15" customHeight="1">
      <c r="A21" s="88" t="str">
        <f>'G-1 All Habitats'!B20</f>
        <v>Grassland - Other lowland acid grassland</v>
      </c>
      <c r="B21" s="543">
        <v>3</v>
      </c>
      <c r="C21" s="543">
        <v>2.5</v>
      </c>
      <c r="D21" s="543">
        <v>2</v>
      </c>
      <c r="E21" s="543">
        <v>1.5</v>
      </c>
      <c r="F21" s="543">
        <v>1</v>
      </c>
      <c r="G21" s="543" t="s">
        <v>949</v>
      </c>
      <c r="H21" s="543" t="s">
        <v>949</v>
      </c>
      <c r="I21" s="31" t="str">
        <f t="shared" si="1"/>
        <v>Cond4</v>
      </c>
    </row>
    <row r="22" spans="1:9" ht="15" customHeight="1">
      <c r="A22" s="88" t="str">
        <f>'G-1 All Habitats'!B21</f>
        <v>Grassland - Other neutral grassland</v>
      </c>
      <c r="B22" s="543">
        <v>3</v>
      </c>
      <c r="C22" s="543">
        <v>2.5</v>
      </c>
      <c r="D22" s="543">
        <v>2</v>
      </c>
      <c r="E22" s="543">
        <v>1.5</v>
      </c>
      <c r="F22" s="543">
        <v>1</v>
      </c>
      <c r="G22" s="543" t="s">
        <v>949</v>
      </c>
      <c r="H22" s="543" t="s">
        <v>949</v>
      </c>
      <c r="I22" s="31" t="str">
        <f t="shared" si="1"/>
        <v>Cond4</v>
      </c>
    </row>
    <row r="23" spans="1:9" ht="15" customHeight="1">
      <c r="A23" s="88" t="str">
        <f>'G-1 All Habitats'!B22</f>
        <v>Grassland - Tall herb communities (H6430)</v>
      </c>
      <c r="B23" s="543">
        <v>3</v>
      </c>
      <c r="C23" s="543">
        <v>2.5</v>
      </c>
      <c r="D23" s="543">
        <v>2</v>
      </c>
      <c r="E23" s="543">
        <v>1.5</v>
      </c>
      <c r="F23" s="543">
        <v>1</v>
      </c>
      <c r="G23" s="543" t="s">
        <v>949</v>
      </c>
      <c r="H23" s="543" t="s">
        <v>949</v>
      </c>
      <c r="I23" s="31" t="str">
        <f t="shared" si="1"/>
        <v>Cond4</v>
      </c>
    </row>
    <row r="24" spans="1:9" ht="15" customHeight="1">
      <c r="A24" s="88" t="str">
        <f>'G-1 All Habitats'!B23</f>
        <v>Grassland - Upland acid grassland</v>
      </c>
      <c r="B24" s="543">
        <v>3</v>
      </c>
      <c r="C24" s="543">
        <v>2.5</v>
      </c>
      <c r="D24" s="543">
        <v>2</v>
      </c>
      <c r="E24" s="543">
        <v>1.5</v>
      </c>
      <c r="F24" s="543">
        <v>1</v>
      </c>
      <c r="G24" s="543" t="s">
        <v>949</v>
      </c>
      <c r="H24" s="543" t="s">
        <v>949</v>
      </c>
      <c r="I24" s="31" t="str">
        <f t="shared" si="1"/>
        <v>Cond4</v>
      </c>
    </row>
    <row r="25" spans="1:9" ht="15" customHeight="1">
      <c r="A25" s="88" t="str">
        <f>'G-1 All Habitats'!B24</f>
        <v>Grassland - Upland calcareous grassland</v>
      </c>
      <c r="B25" s="543">
        <v>3</v>
      </c>
      <c r="C25" s="543">
        <v>2.5</v>
      </c>
      <c r="D25" s="543">
        <v>2</v>
      </c>
      <c r="E25" s="543">
        <v>1.5</v>
      </c>
      <c r="F25" s="543">
        <v>1</v>
      </c>
      <c r="G25" s="543" t="s">
        <v>949</v>
      </c>
      <c r="H25" s="543" t="s">
        <v>949</v>
      </c>
      <c r="I25" s="31" t="str">
        <f t="shared" si="1"/>
        <v>Cond4</v>
      </c>
    </row>
    <row r="26" spans="1:9" ht="15" customHeight="1">
      <c r="A26" s="88" t="str">
        <f>'G-1 All Habitats'!B25</f>
        <v>Grassland - Upland hay meadows</v>
      </c>
      <c r="B26" s="543">
        <v>3</v>
      </c>
      <c r="C26" s="543">
        <v>2.5</v>
      </c>
      <c r="D26" s="543">
        <v>2</v>
      </c>
      <c r="E26" s="543">
        <v>1.5</v>
      </c>
      <c r="F26" s="543">
        <v>1</v>
      </c>
      <c r="G26" s="543" t="s">
        <v>949</v>
      </c>
      <c r="H26" s="543" t="s">
        <v>949</v>
      </c>
      <c r="I26" s="31" t="str">
        <f t="shared" si="1"/>
        <v>Cond4</v>
      </c>
    </row>
    <row r="27" spans="1:9" ht="13.9">
      <c r="A27" s="88" t="str">
        <f>'G-1 All Habitats'!B26</f>
        <v>Heathland and shrub - Blackthorn scrub</v>
      </c>
      <c r="B27" s="543">
        <v>3</v>
      </c>
      <c r="C27" s="543">
        <v>2.5</v>
      </c>
      <c r="D27" s="543">
        <v>2</v>
      </c>
      <c r="E27" s="543">
        <v>1.5</v>
      </c>
      <c r="F27" s="543">
        <v>1</v>
      </c>
      <c r="G27" s="543" t="s">
        <v>949</v>
      </c>
      <c r="H27" s="543" t="s">
        <v>949</v>
      </c>
      <c r="I27" s="31" t="str">
        <f t="shared" si="1"/>
        <v>Cond4</v>
      </c>
    </row>
    <row r="28" spans="1:9" ht="13.9">
      <c r="A28" s="88" t="str">
        <f>'G-1 All Habitats'!B27</f>
        <v>Heathland and shrub - Bramble scrub</v>
      </c>
      <c r="B28" s="543" t="s">
        <v>949</v>
      </c>
      <c r="C28" s="543" t="s">
        <v>949</v>
      </c>
      <c r="D28" s="543" t="s">
        <v>949</v>
      </c>
      <c r="E28" s="543" t="s">
        <v>949</v>
      </c>
      <c r="F28" s="543" t="s">
        <v>949</v>
      </c>
      <c r="G28" s="543">
        <v>1</v>
      </c>
      <c r="H28" s="543" t="s">
        <v>949</v>
      </c>
      <c r="I28" s="31" t="str">
        <f t="shared" si="1"/>
        <v>Cond1</v>
      </c>
    </row>
    <row r="29" spans="1:9" ht="13.9">
      <c r="A29" s="88" t="str">
        <f>'G-1 All Habitats'!B28</f>
        <v>Heathland and shrub - Gorse scrub</v>
      </c>
      <c r="B29" s="543">
        <v>3</v>
      </c>
      <c r="C29" s="543">
        <v>2.5</v>
      </c>
      <c r="D29" s="543">
        <v>2</v>
      </c>
      <c r="E29" s="543">
        <v>1.5</v>
      </c>
      <c r="F29" s="543">
        <v>1</v>
      </c>
      <c r="G29" s="543" t="s">
        <v>949</v>
      </c>
      <c r="H29" s="543" t="s">
        <v>949</v>
      </c>
      <c r="I29" s="31" t="str">
        <f t="shared" si="1"/>
        <v>Cond4</v>
      </c>
    </row>
    <row r="30" spans="1:9" ht="13.9">
      <c r="A30" s="88" t="str">
        <f>'G-1 All Habitats'!B29</f>
        <v>Heathland and shrub - Hawthorn scrub</v>
      </c>
      <c r="B30" s="543">
        <v>3</v>
      </c>
      <c r="C30" s="543">
        <v>2.5</v>
      </c>
      <c r="D30" s="543">
        <v>2</v>
      </c>
      <c r="E30" s="543">
        <v>1.5</v>
      </c>
      <c r="F30" s="543">
        <v>1</v>
      </c>
      <c r="G30" s="543" t="s">
        <v>949</v>
      </c>
      <c r="H30" s="543" t="s">
        <v>949</v>
      </c>
      <c r="I30" s="31" t="str">
        <f t="shared" si="1"/>
        <v>Cond4</v>
      </c>
    </row>
    <row r="31" spans="1:9" ht="13.9">
      <c r="A31" s="88" t="str">
        <f>'G-1 All Habitats'!B30</f>
        <v>Heathland and shrub - Hazel scrub</v>
      </c>
      <c r="B31" s="543">
        <v>3</v>
      </c>
      <c r="C31" s="543">
        <v>2.5</v>
      </c>
      <c r="D31" s="543">
        <v>2</v>
      </c>
      <c r="E31" s="543">
        <v>1.5</v>
      </c>
      <c r="F31" s="543">
        <v>1</v>
      </c>
      <c r="G31" s="543" t="s">
        <v>949</v>
      </c>
      <c r="H31" s="543" t="s">
        <v>949</v>
      </c>
      <c r="I31" s="31" t="str">
        <f t="shared" si="1"/>
        <v>Cond4</v>
      </c>
    </row>
    <row r="32" spans="1:9" ht="13.9">
      <c r="A32" s="88" t="str">
        <f>'G-1 All Habitats'!B31</f>
        <v>Heathland and shrub - Lowland Heathland</v>
      </c>
      <c r="B32" s="543">
        <v>3</v>
      </c>
      <c r="C32" s="543">
        <v>2.5</v>
      </c>
      <c r="D32" s="543">
        <v>2</v>
      </c>
      <c r="E32" s="543">
        <v>1.5</v>
      </c>
      <c r="F32" s="543">
        <v>1</v>
      </c>
      <c r="G32" s="543" t="s">
        <v>949</v>
      </c>
      <c r="H32" s="543" t="s">
        <v>949</v>
      </c>
      <c r="I32" s="31" t="str">
        <f t="shared" si="1"/>
        <v>Cond4</v>
      </c>
    </row>
    <row r="33" spans="1:9" ht="13.9">
      <c r="A33" s="88" t="str">
        <f>'G-1 All Habitats'!B32</f>
        <v>Heathland and shrub - Mixed scrub</v>
      </c>
      <c r="B33" s="543">
        <v>3</v>
      </c>
      <c r="C33" s="543">
        <v>2.5</v>
      </c>
      <c r="D33" s="543">
        <v>2</v>
      </c>
      <c r="E33" s="543">
        <v>1.5</v>
      </c>
      <c r="F33" s="543">
        <v>1</v>
      </c>
      <c r="G33" s="543" t="s">
        <v>949</v>
      </c>
      <c r="H33" s="543" t="s">
        <v>949</v>
      </c>
      <c r="I33" s="31" t="str">
        <f t="shared" si="1"/>
        <v>Cond4</v>
      </c>
    </row>
    <row r="34" spans="1:9" ht="13.9">
      <c r="A34" s="88" t="str">
        <f>'G-1 All Habitats'!B33</f>
        <v>Heathland and shrub - Mountain heaths and willow scrub</v>
      </c>
      <c r="B34" s="543">
        <v>3</v>
      </c>
      <c r="C34" s="543">
        <v>2.5</v>
      </c>
      <c r="D34" s="543">
        <v>2</v>
      </c>
      <c r="E34" s="543">
        <v>1.5</v>
      </c>
      <c r="F34" s="543">
        <v>1</v>
      </c>
      <c r="G34" s="543" t="s">
        <v>949</v>
      </c>
      <c r="H34" s="543" t="s">
        <v>949</v>
      </c>
      <c r="I34" s="31" t="str">
        <f t="shared" si="1"/>
        <v>Cond4</v>
      </c>
    </row>
    <row r="35" spans="1:9" ht="13.9">
      <c r="A35" s="88" t="str">
        <f>'G-1 All Habitats'!B34</f>
        <v>Heathland and shrub - Rhododendron scrub</v>
      </c>
      <c r="B35" s="543" t="s">
        <v>949</v>
      </c>
      <c r="C35" s="543" t="s">
        <v>949</v>
      </c>
      <c r="D35" s="543" t="s">
        <v>949</v>
      </c>
      <c r="E35" s="543" t="s">
        <v>949</v>
      </c>
      <c r="F35" s="543" t="s">
        <v>949</v>
      </c>
      <c r="G35" s="543">
        <v>1</v>
      </c>
      <c r="H35" s="543" t="s">
        <v>949</v>
      </c>
      <c r="I35" s="31" t="str">
        <f t="shared" si="1"/>
        <v>Cond1</v>
      </c>
    </row>
    <row r="36" spans="1:9" ht="13.9">
      <c r="A36" s="88" t="str">
        <f>'G-1 All Habitats'!B35</f>
        <v>Heathland and shrub - Sea buckthorn scrub (Annex 1)</v>
      </c>
      <c r="B36" s="543">
        <v>3</v>
      </c>
      <c r="C36" s="543">
        <v>2.5</v>
      </c>
      <c r="D36" s="543">
        <v>2</v>
      </c>
      <c r="E36" s="543">
        <v>1.5</v>
      </c>
      <c r="F36" s="543">
        <v>1</v>
      </c>
      <c r="G36" s="543" t="s">
        <v>949</v>
      </c>
      <c r="H36" s="543" t="s">
        <v>949</v>
      </c>
      <c r="I36" s="31" t="str">
        <f t="shared" si="1"/>
        <v>Cond4</v>
      </c>
    </row>
    <row r="37" spans="1:9" ht="13.9">
      <c r="A37" s="88" t="str">
        <f>'G-1 All Habitats'!B36</f>
        <v>Heathland and shrub - Sea buckthorn scrub (other)</v>
      </c>
      <c r="B37" s="543" t="s">
        <v>949</v>
      </c>
      <c r="C37" s="543" t="s">
        <v>949</v>
      </c>
      <c r="D37" s="543" t="s">
        <v>949</v>
      </c>
      <c r="E37" s="543" t="s">
        <v>949</v>
      </c>
      <c r="F37" s="543" t="s">
        <v>949</v>
      </c>
      <c r="G37" s="543">
        <v>1</v>
      </c>
      <c r="H37" s="543" t="s">
        <v>949</v>
      </c>
      <c r="I37" s="31" t="str">
        <f t="shared" si="1"/>
        <v>Cond1</v>
      </c>
    </row>
    <row r="38" spans="1:9" ht="13.9">
      <c r="A38" s="88" t="str">
        <f>'G-1 All Habitats'!B37</f>
        <v>Heathland and shrub - Upland Heathland</v>
      </c>
      <c r="B38" s="543">
        <v>3</v>
      </c>
      <c r="C38" s="543">
        <v>2.5</v>
      </c>
      <c r="D38" s="543">
        <v>2</v>
      </c>
      <c r="E38" s="543">
        <v>1.5</v>
      </c>
      <c r="F38" s="543">
        <v>1</v>
      </c>
      <c r="G38" s="543" t="s">
        <v>949</v>
      </c>
      <c r="H38" s="543" t="s">
        <v>949</v>
      </c>
      <c r="I38" s="31" t="str">
        <f t="shared" si="1"/>
        <v>Cond4</v>
      </c>
    </row>
    <row r="39" spans="1:9" ht="13.9">
      <c r="A39" s="88" t="str">
        <f>'G-1 All Habitats'!B38</f>
        <v>Lakes - Aquifer fed naturally fluctuating water bodies</v>
      </c>
      <c r="B39" s="543">
        <v>3</v>
      </c>
      <c r="C39" s="543">
        <v>2.5</v>
      </c>
      <c r="D39" s="543">
        <v>2</v>
      </c>
      <c r="E39" s="543">
        <v>1.5</v>
      </c>
      <c r="F39" s="543">
        <v>1</v>
      </c>
      <c r="G39" s="543" t="s">
        <v>949</v>
      </c>
      <c r="H39" s="543" t="s">
        <v>949</v>
      </c>
      <c r="I39" s="31" t="str">
        <f t="shared" si="1"/>
        <v>Cond4</v>
      </c>
    </row>
    <row r="40" spans="1:9" ht="13.9">
      <c r="A40" s="88" t="str">
        <f>'G-1 All Habitats'!B40</f>
        <v>Lakes - High alkalinity lakes</v>
      </c>
      <c r="B40" s="543">
        <v>3</v>
      </c>
      <c r="C40" s="543">
        <v>2.5</v>
      </c>
      <c r="D40" s="543">
        <v>2</v>
      </c>
      <c r="E40" s="543">
        <v>1.5</v>
      </c>
      <c r="F40" s="543">
        <v>1</v>
      </c>
      <c r="G40" s="543" t="s">
        <v>949</v>
      </c>
      <c r="H40" s="543" t="s">
        <v>949</v>
      </c>
      <c r="I40" s="31" t="str">
        <f t="shared" si="1"/>
        <v>Cond4</v>
      </c>
    </row>
    <row r="41" spans="1:9" ht="13.9">
      <c r="A41" s="88" t="str">
        <f>'G-1 All Habitats'!B41</f>
        <v>Lakes - Low alkalinity lakes</v>
      </c>
      <c r="B41" s="543">
        <v>3</v>
      </c>
      <c r="C41" s="543">
        <v>2.5</v>
      </c>
      <c r="D41" s="543">
        <v>2</v>
      </c>
      <c r="E41" s="543">
        <v>1.5</v>
      </c>
      <c r="F41" s="543">
        <v>1</v>
      </c>
      <c r="G41" s="543" t="s">
        <v>949</v>
      </c>
      <c r="H41" s="543" t="s">
        <v>949</v>
      </c>
      <c r="I41" s="31" t="str">
        <f t="shared" ref="I41:I72" si="2">IF(G41=1,"Cond1",IF(H41=0,"Cond2",IF(AND(B41=3,C41=2.5,D41=2,E41=1.5,F41=1),"Cond4",IF(F41=1,"Cond3","Check"))))</f>
        <v>Cond4</v>
      </c>
    </row>
    <row r="42" spans="1:9" ht="13.9">
      <c r="A42" s="88" t="str">
        <f>'G-1 All Habitats'!B42</f>
        <v>Lakes - Marl Lakes</v>
      </c>
      <c r="B42" s="543">
        <v>3</v>
      </c>
      <c r="C42" s="543">
        <v>2.5</v>
      </c>
      <c r="D42" s="543">
        <v>2</v>
      </c>
      <c r="E42" s="543">
        <v>1.5</v>
      </c>
      <c r="F42" s="543">
        <v>1</v>
      </c>
      <c r="G42" s="543" t="s">
        <v>949</v>
      </c>
      <c r="H42" s="543" t="s">
        <v>949</v>
      </c>
      <c r="I42" s="31" t="str">
        <f t="shared" si="2"/>
        <v>Cond4</v>
      </c>
    </row>
    <row r="43" spans="1:9" ht="13.9">
      <c r="A43" s="88" t="str">
        <f>'G-1 All Habitats'!B43</f>
        <v>Lakes - Moderate alkalinity lakes</v>
      </c>
      <c r="B43" s="543">
        <v>3</v>
      </c>
      <c r="C43" s="543">
        <v>2.5</v>
      </c>
      <c r="D43" s="543">
        <v>2</v>
      </c>
      <c r="E43" s="543">
        <v>1.5</v>
      </c>
      <c r="F43" s="543">
        <v>1</v>
      </c>
      <c r="G43" s="543" t="s">
        <v>949</v>
      </c>
      <c r="H43" s="543" t="s">
        <v>949</v>
      </c>
      <c r="I43" s="31" t="str">
        <f t="shared" si="2"/>
        <v>Cond4</v>
      </c>
    </row>
    <row r="44" spans="1:9" ht="13.9">
      <c r="A44" s="88" t="str">
        <f>'G-1 All Habitats'!B44</f>
        <v>Lakes - Peat Lakes</v>
      </c>
      <c r="B44" s="543">
        <v>3</v>
      </c>
      <c r="C44" s="543">
        <v>2.5</v>
      </c>
      <c r="D44" s="543">
        <v>2</v>
      </c>
      <c r="E44" s="543">
        <v>1.5</v>
      </c>
      <c r="F44" s="543">
        <v>1</v>
      </c>
      <c r="G44" s="543" t="s">
        <v>949</v>
      </c>
      <c r="H44" s="543" t="s">
        <v>949</v>
      </c>
      <c r="I44" s="31" t="str">
        <f t="shared" si="2"/>
        <v>Cond4</v>
      </c>
    </row>
    <row r="45" spans="1:9" ht="13.9">
      <c r="A45" s="88" t="str">
        <f>'G-1 All Habitats'!B45</f>
        <v>Lakes - Ponds (Priority Habitat)</v>
      </c>
      <c r="B45" s="543">
        <v>3</v>
      </c>
      <c r="C45" s="543">
        <v>2.5</v>
      </c>
      <c r="D45" s="543">
        <v>2</v>
      </c>
      <c r="E45" s="543">
        <v>1.5</v>
      </c>
      <c r="F45" s="543">
        <v>1</v>
      </c>
      <c r="G45" s="543" t="s">
        <v>949</v>
      </c>
      <c r="H45" s="543" t="s">
        <v>949</v>
      </c>
      <c r="I45" s="31" t="str">
        <f t="shared" si="2"/>
        <v>Cond4</v>
      </c>
    </row>
    <row r="46" spans="1:9" ht="13.9">
      <c r="A46" s="88" t="str">
        <f>'G-1 All Habitats'!B46</f>
        <v>Lakes - Ponds (Non- Priority Habitat)</v>
      </c>
      <c r="B46" s="543">
        <v>3</v>
      </c>
      <c r="C46" s="543">
        <v>2.5</v>
      </c>
      <c r="D46" s="543">
        <v>2</v>
      </c>
      <c r="E46" s="543">
        <v>1.5</v>
      </c>
      <c r="F46" s="543">
        <v>1</v>
      </c>
      <c r="G46" s="543" t="s">
        <v>949</v>
      </c>
      <c r="H46" s="543" t="s">
        <v>949</v>
      </c>
      <c r="I46" s="31" t="str">
        <f t="shared" si="2"/>
        <v>Cond4</v>
      </c>
    </row>
    <row r="47" spans="1:9" ht="13.9">
      <c r="A47" s="88" t="str">
        <f>'G-1 All Habitats'!B47</f>
        <v>Lakes - Reservoirs</v>
      </c>
      <c r="B47" s="543">
        <v>3</v>
      </c>
      <c r="C47" s="543">
        <v>2.5</v>
      </c>
      <c r="D47" s="543">
        <v>2</v>
      </c>
      <c r="E47" s="543">
        <v>1.5</v>
      </c>
      <c r="F47" s="543">
        <v>1</v>
      </c>
      <c r="G47" s="543" t="s">
        <v>949</v>
      </c>
      <c r="H47" s="543" t="s">
        <v>949</v>
      </c>
      <c r="I47" s="31" t="str">
        <f t="shared" si="2"/>
        <v>Cond4</v>
      </c>
    </row>
    <row r="48" spans="1:9" ht="13.9">
      <c r="A48" s="88" t="str">
        <f>'G-1 All Habitats'!B48</f>
        <v>Lakes - Temporary lakes, ponds and pools</v>
      </c>
      <c r="B48" s="543">
        <v>3</v>
      </c>
      <c r="C48" s="543">
        <v>2.5</v>
      </c>
      <c r="D48" s="543">
        <v>2</v>
      </c>
      <c r="E48" s="543">
        <v>1.5</v>
      </c>
      <c r="F48" s="543">
        <v>1</v>
      </c>
      <c r="G48" s="543" t="s">
        <v>949</v>
      </c>
      <c r="H48" s="543" t="s">
        <v>949</v>
      </c>
      <c r="I48" s="31" t="str">
        <f t="shared" si="2"/>
        <v>Cond4</v>
      </c>
    </row>
    <row r="49" spans="1:9" ht="13.9">
      <c r="A49" s="88" t="str">
        <f>'G-1 All Habitats'!B49</f>
        <v>Sparsely vegetated land - Calaminarian grasslands</v>
      </c>
      <c r="B49" s="543">
        <v>3</v>
      </c>
      <c r="C49" s="543">
        <v>2.5</v>
      </c>
      <c r="D49" s="543">
        <v>2</v>
      </c>
      <c r="E49" s="543">
        <v>1.5</v>
      </c>
      <c r="F49" s="543">
        <v>1</v>
      </c>
      <c r="G49" s="543" t="s">
        <v>949</v>
      </c>
      <c r="H49" s="543" t="s">
        <v>949</v>
      </c>
      <c r="I49" s="31" t="str">
        <f t="shared" si="2"/>
        <v>Cond4</v>
      </c>
    </row>
    <row r="50" spans="1:9" ht="13.9">
      <c r="A50" s="88" t="str">
        <f>'G-1 All Habitats'!B50</f>
        <v>Sparsely vegetated land - Coastal sand dunes</v>
      </c>
      <c r="B50" s="543">
        <v>3</v>
      </c>
      <c r="C50" s="543">
        <v>2.5</v>
      </c>
      <c r="D50" s="543">
        <v>2</v>
      </c>
      <c r="E50" s="543">
        <v>1.5</v>
      </c>
      <c r="F50" s="543">
        <v>1</v>
      </c>
      <c r="G50" s="543" t="s">
        <v>949</v>
      </c>
      <c r="H50" s="543" t="s">
        <v>949</v>
      </c>
      <c r="I50" s="31" t="str">
        <f t="shared" si="2"/>
        <v>Cond4</v>
      </c>
    </row>
    <row r="51" spans="1:9" ht="13.9">
      <c r="A51" s="88" t="str">
        <f>'G-1 All Habitats'!B51</f>
        <v>Sparsely vegetated land - Coastal vegetated shingle</v>
      </c>
      <c r="B51" s="543">
        <v>3</v>
      </c>
      <c r="C51" s="543">
        <v>2.5</v>
      </c>
      <c r="D51" s="543">
        <v>2</v>
      </c>
      <c r="E51" s="543">
        <v>1.5</v>
      </c>
      <c r="F51" s="543">
        <v>1</v>
      </c>
      <c r="G51" s="543" t="s">
        <v>949</v>
      </c>
      <c r="H51" s="543" t="s">
        <v>949</v>
      </c>
      <c r="I51" s="31" t="str">
        <f t="shared" si="2"/>
        <v>Cond4</v>
      </c>
    </row>
    <row r="52" spans="1:9" ht="13.9">
      <c r="A52" s="88" t="str">
        <f>'G-1 All Habitats'!B52</f>
        <v>Sparsely vegetated land - Ruderal/Ephemeral</v>
      </c>
      <c r="B52" s="543">
        <v>3</v>
      </c>
      <c r="C52" s="543">
        <v>2.5</v>
      </c>
      <c r="D52" s="543">
        <v>2</v>
      </c>
      <c r="E52" s="543">
        <v>1.5</v>
      </c>
      <c r="F52" s="543">
        <v>1</v>
      </c>
      <c r="G52" s="543" t="s">
        <v>949</v>
      </c>
      <c r="H52" s="543" t="s">
        <v>949</v>
      </c>
      <c r="I52" s="31" t="str">
        <f t="shared" si="2"/>
        <v>Cond4</v>
      </c>
    </row>
    <row r="53" spans="1:9" ht="13.9">
      <c r="A53" s="88" t="str">
        <f>'G-1 All Habitats'!B53</f>
        <v>Sparsely vegetated land - Inland rock outcrop and scree habitats</v>
      </c>
      <c r="B53" s="543">
        <v>3</v>
      </c>
      <c r="C53" s="543">
        <v>2.5</v>
      </c>
      <c r="D53" s="543">
        <v>2</v>
      </c>
      <c r="E53" s="543">
        <v>1.5</v>
      </c>
      <c r="F53" s="543">
        <v>1</v>
      </c>
      <c r="G53" s="543" t="s">
        <v>949</v>
      </c>
      <c r="H53" s="543" t="s">
        <v>949</v>
      </c>
      <c r="I53" s="31" t="str">
        <f t="shared" si="2"/>
        <v>Cond4</v>
      </c>
    </row>
    <row r="54" spans="1:9" ht="13.9">
      <c r="A54" s="88" t="str">
        <f>'G-1 All Habitats'!B54</f>
        <v>Sparsely vegetated land - Limestone pavement</v>
      </c>
      <c r="B54" s="543">
        <v>3</v>
      </c>
      <c r="C54" s="543">
        <v>2.5</v>
      </c>
      <c r="D54" s="543">
        <v>2</v>
      </c>
      <c r="E54" s="543">
        <v>1.5</v>
      </c>
      <c r="F54" s="543">
        <v>1</v>
      </c>
      <c r="G54" s="543" t="s">
        <v>949</v>
      </c>
      <c r="H54" s="543" t="s">
        <v>949</v>
      </c>
      <c r="I54" s="31" t="str">
        <f t="shared" si="2"/>
        <v>Cond4</v>
      </c>
    </row>
    <row r="55" spans="1:9" ht="13.9">
      <c r="A55" s="88" t="str">
        <f>'G-1 All Habitats'!B55</f>
        <v>Sparsely vegetated land - Maritime cliff and slopes</v>
      </c>
      <c r="B55" s="543">
        <v>3</v>
      </c>
      <c r="C55" s="543">
        <v>2.5</v>
      </c>
      <c r="D55" s="543">
        <v>2</v>
      </c>
      <c r="E55" s="543">
        <v>1.5</v>
      </c>
      <c r="F55" s="543">
        <v>1</v>
      </c>
      <c r="G55" s="543" t="s">
        <v>949</v>
      </c>
      <c r="H55" s="543" t="s">
        <v>949</v>
      </c>
      <c r="I55" s="31" t="str">
        <f t="shared" si="2"/>
        <v>Cond4</v>
      </c>
    </row>
    <row r="56" spans="1:9" ht="13.9">
      <c r="A56" s="88" t="str">
        <f>'G-1 All Habitats'!B56</f>
        <v>Sparsely vegetated land - Other inland rock and scree</v>
      </c>
      <c r="B56" s="543">
        <v>3</v>
      </c>
      <c r="C56" s="543">
        <v>2.5</v>
      </c>
      <c r="D56" s="543">
        <v>2</v>
      </c>
      <c r="E56" s="543">
        <v>1.5</v>
      </c>
      <c r="F56" s="543">
        <v>1</v>
      </c>
      <c r="G56" s="543" t="s">
        <v>949</v>
      </c>
      <c r="H56" s="543" t="s">
        <v>949</v>
      </c>
      <c r="I56" s="31" t="str">
        <f t="shared" si="2"/>
        <v>Cond4</v>
      </c>
    </row>
    <row r="57" spans="1:9" ht="13.9">
      <c r="A57" s="88" t="str">
        <f>'G-1 All Habitats'!B57</f>
        <v>Urban - Allotments</v>
      </c>
      <c r="B57" s="543">
        <v>3</v>
      </c>
      <c r="C57" s="543">
        <v>2.5</v>
      </c>
      <c r="D57" s="543">
        <v>2</v>
      </c>
      <c r="E57" s="543">
        <v>1.5</v>
      </c>
      <c r="F57" s="543">
        <v>1</v>
      </c>
      <c r="G57" s="543" t="s">
        <v>949</v>
      </c>
      <c r="H57" s="543" t="s">
        <v>949</v>
      </c>
      <c r="I57" s="31" t="str">
        <f t="shared" si="2"/>
        <v>Cond4</v>
      </c>
    </row>
    <row r="58" spans="1:9" ht="13.9">
      <c r="A58" s="88" t="str">
        <f>'G-1 All Habitats'!B39</f>
        <v>Lakes - Ornamental lake or pond</v>
      </c>
      <c r="B58" s="543">
        <v>3</v>
      </c>
      <c r="C58" s="543">
        <v>2.5</v>
      </c>
      <c r="D58" s="543">
        <v>2</v>
      </c>
      <c r="E58" s="543">
        <v>1.5</v>
      </c>
      <c r="F58" s="543">
        <v>1</v>
      </c>
      <c r="G58" s="543" t="s">
        <v>949</v>
      </c>
      <c r="H58" s="543" t="s">
        <v>949</v>
      </c>
      <c r="I58" s="31" t="str">
        <f t="shared" si="2"/>
        <v>Cond4</v>
      </c>
    </row>
    <row r="59" spans="1:9" ht="13.9">
      <c r="A59" s="88" t="str">
        <f>'G-1 All Habitats'!B58</f>
        <v>Urban - Artificial unvegetated, unsealed surface</v>
      </c>
      <c r="B59" s="543" t="s">
        <v>949</v>
      </c>
      <c r="C59" s="543" t="s">
        <v>949</v>
      </c>
      <c r="D59" s="543" t="s">
        <v>949</v>
      </c>
      <c r="E59" s="543" t="s">
        <v>949</v>
      </c>
      <c r="F59" s="543" t="s">
        <v>949</v>
      </c>
      <c r="G59" s="543" t="s">
        <v>949</v>
      </c>
      <c r="H59" s="592">
        <v>0</v>
      </c>
      <c r="I59" s="31" t="str">
        <f t="shared" si="2"/>
        <v>Cond2</v>
      </c>
    </row>
    <row r="60" spans="1:9" ht="13.9">
      <c r="A60" s="88" t="str">
        <f>'G-1 All Habitats'!B59</f>
        <v>Urban - Bioswale</v>
      </c>
      <c r="B60" s="543">
        <v>3</v>
      </c>
      <c r="C60" s="543">
        <v>2.5</v>
      </c>
      <c r="D60" s="543">
        <v>2</v>
      </c>
      <c r="E60" s="543">
        <v>1.5</v>
      </c>
      <c r="F60" s="543">
        <v>1</v>
      </c>
      <c r="G60" s="543" t="s">
        <v>949</v>
      </c>
      <c r="H60" s="543" t="s">
        <v>949</v>
      </c>
      <c r="I60" s="31" t="str">
        <f t="shared" si="2"/>
        <v>Cond4</v>
      </c>
    </row>
    <row r="61" spans="1:9" ht="13.9">
      <c r="A61" s="88" t="str">
        <f>'G-1 All Habitats'!B60</f>
        <v>Urban - Intensive green roof</v>
      </c>
      <c r="B61" s="543">
        <v>3</v>
      </c>
      <c r="C61" s="543">
        <v>2.5</v>
      </c>
      <c r="D61" s="543">
        <v>2</v>
      </c>
      <c r="E61" s="543">
        <v>1.5</v>
      </c>
      <c r="F61" s="543">
        <v>1</v>
      </c>
      <c r="G61" s="543" t="s">
        <v>949</v>
      </c>
      <c r="H61" s="543" t="s">
        <v>949</v>
      </c>
      <c r="I61" s="31" t="str">
        <f t="shared" si="2"/>
        <v>Cond4</v>
      </c>
    </row>
    <row r="62" spans="1:9" ht="13.9">
      <c r="A62" s="88" t="str">
        <f>'G-1 All Habitats'!B61</f>
        <v>Urban - Built linear features</v>
      </c>
      <c r="B62" s="543" t="s">
        <v>949</v>
      </c>
      <c r="C62" s="543" t="s">
        <v>949</v>
      </c>
      <c r="D62" s="543" t="s">
        <v>949</v>
      </c>
      <c r="E62" s="543" t="s">
        <v>949</v>
      </c>
      <c r="F62" s="543" t="s">
        <v>949</v>
      </c>
      <c r="G62" s="543" t="s">
        <v>949</v>
      </c>
      <c r="H62" s="592">
        <v>0</v>
      </c>
      <c r="I62" s="31" t="str">
        <f t="shared" si="2"/>
        <v>Cond2</v>
      </c>
    </row>
    <row r="63" spans="1:9" ht="13.9">
      <c r="A63" s="88" t="str">
        <f>'G-1 All Habitats'!B62</f>
        <v>Urban - Cemeteries and churchyards</v>
      </c>
      <c r="B63" s="543">
        <v>3</v>
      </c>
      <c r="C63" s="543">
        <v>2.5</v>
      </c>
      <c r="D63" s="543">
        <v>2</v>
      </c>
      <c r="E63" s="543">
        <v>1.5</v>
      </c>
      <c r="F63" s="543">
        <v>1</v>
      </c>
      <c r="G63" s="543" t="s">
        <v>949</v>
      </c>
      <c r="H63" s="543" t="s">
        <v>949</v>
      </c>
      <c r="I63" s="31" t="str">
        <f t="shared" si="2"/>
        <v>Cond4</v>
      </c>
    </row>
    <row r="64" spans="1:9" ht="13.9">
      <c r="A64" s="88" t="str">
        <f>'G-1 All Habitats'!B63</f>
        <v>Urban - Developed land; sealed surface</v>
      </c>
      <c r="B64" s="543" t="s">
        <v>949</v>
      </c>
      <c r="C64" s="543" t="s">
        <v>949</v>
      </c>
      <c r="D64" s="543" t="s">
        <v>949</v>
      </c>
      <c r="E64" s="543" t="s">
        <v>949</v>
      </c>
      <c r="F64" s="543" t="s">
        <v>949</v>
      </c>
      <c r="G64" s="543" t="s">
        <v>949</v>
      </c>
      <c r="H64" s="592">
        <v>0</v>
      </c>
      <c r="I64" s="31" t="str">
        <f t="shared" si="2"/>
        <v>Cond2</v>
      </c>
    </row>
    <row r="65" spans="1:9" ht="13.9">
      <c r="A65" s="88" t="str">
        <f>'G-1 All Habitats'!B64</f>
        <v>Urban - Other green roof</v>
      </c>
      <c r="B65" s="543" t="s">
        <v>949</v>
      </c>
      <c r="C65" s="543" t="s">
        <v>949</v>
      </c>
      <c r="D65" s="543" t="s">
        <v>949</v>
      </c>
      <c r="E65" s="543" t="s">
        <v>949</v>
      </c>
      <c r="F65" s="543" t="s">
        <v>949</v>
      </c>
      <c r="G65" s="543">
        <v>1</v>
      </c>
      <c r="H65" s="543" t="s">
        <v>949</v>
      </c>
      <c r="I65" s="31" t="str">
        <f t="shared" si="2"/>
        <v>Cond1</v>
      </c>
    </row>
    <row r="66" spans="1:9" ht="13.9">
      <c r="A66" s="88" t="str">
        <f>'G-1 All Habitats'!B65</f>
        <v>Urban - Facade-bound green wall</v>
      </c>
      <c r="B66" s="543">
        <v>3</v>
      </c>
      <c r="C66" s="543">
        <v>2.5</v>
      </c>
      <c r="D66" s="543">
        <v>2</v>
      </c>
      <c r="E66" s="543">
        <v>1.5</v>
      </c>
      <c r="F66" s="543">
        <v>1</v>
      </c>
      <c r="G66" s="543" t="s">
        <v>949</v>
      </c>
      <c r="H66" s="543" t="s">
        <v>949</v>
      </c>
      <c r="I66" s="31" t="str">
        <f t="shared" si="2"/>
        <v>Cond4</v>
      </c>
    </row>
    <row r="67" spans="1:9" ht="13.9">
      <c r="A67" s="88" t="str">
        <f>'G-1 All Habitats'!B66</f>
        <v>Urban - Ground based green wall</v>
      </c>
      <c r="B67" s="543">
        <v>3</v>
      </c>
      <c r="C67" s="543">
        <v>2.5</v>
      </c>
      <c r="D67" s="543">
        <v>2</v>
      </c>
      <c r="E67" s="543">
        <v>1.5</v>
      </c>
      <c r="F67" s="543">
        <v>1</v>
      </c>
      <c r="G67" s="543" t="s">
        <v>949</v>
      </c>
      <c r="H67" s="543" t="s">
        <v>949</v>
      </c>
      <c r="I67" s="31" t="str">
        <f t="shared" si="2"/>
        <v>Cond4</v>
      </c>
    </row>
    <row r="68" spans="1:9" ht="13.9">
      <c r="A68" s="88" t="str">
        <f>'G-1 All Habitats'!B67</f>
        <v>Urban - Ground level planters</v>
      </c>
      <c r="B68" s="543" t="s">
        <v>949</v>
      </c>
      <c r="C68" s="543" t="s">
        <v>949</v>
      </c>
      <c r="D68" s="543" t="s">
        <v>949</v>
      </c>
      <c r="E68" s="543" t="s">
        <v>949</v>
      </c>
      <c r="F68" s="543" t="s">
        <v>949</v>
      </c>
      <c r="G68" s="543">
        <v>1</v>
      </c>
      <c r="H68" s="543" t="s">
        <v>949</v>
      </c>
      <c r="I68" s="31" t="str">
        <f t="shared" si="2"/>
        <v>Cond1</v>
      </c>
    </row>
    <row r="69" spans="1:9" ht="13.9">
      <c r="A69" s="88" t="str">
        <f>'G-1 All Habitats'!B68</f>
        <v>Urban - Biodiverse green roof</v>
      </c>
      <c r="B69" s="543">
        <v>3</v>
      </c>
      <c r="C69" s="543">
        <v>2.5</v>
      </c>
      <c r="D69" s="543">
        <v>2</v>
      </c>
      <c r="E69" s="543">
        <v>1.5</v>
      </c>
      <c r="F69" s="543">
        <v>1</v>
      </c>
      <c r="G69" s="543" t="s">
        <v>949</v>
      </c>
      <c r="H69" s="543" t="s">
        <v>949</v>
      </c>
      <c r="I69" s="31" t="str">
        <f t="shared" si="2"/>
        <v>Cond4</v>
      </c>
    </row>
    <row r="70" spans="1:9" ht="13.9">
      <c r="A70" s="88" t="str">
        <f>'G-1 All Habitats'!B69</f>
        <v>Urban - Introduced shrub</v>
      </c>
      <c r="B70" s="543" t="s">
        <v>949</v>
      </c>
      <c r="C70" s="543" t="s">
        <v>949</v>
      </c>
      <c r="D70" s="543" t="s">
        <v>949</v>
      </c>
      <c r="E70" s="543" t="s">
        <v>949</v>
      </c>
      <c r="F70" s="543" t="s">
        <v>949</v>
      </c>
      <c r="G70" s="543">
        <v>1</v>
      </c>
      <c r="H70" s="543" t="s">
        <v>949</v>
      </c>
      <c r="I70" s="31" t="str">
        <f t="shared" si="2"/>
        <v>Cond1</v>
      </c>
    </row>
    <row r="71" spans="1:9" ht="13.9">
      <c r="A71" s="88" t="str">
        <f>'G-1 All Habitats'!B70</f>
        <v>Urban - Open Mosaic Habitats on Previously Developed Land</v>
      </c>
      <c r="B71" s="543">
        <v>3</v>
      </c>
      <c r="C71" s="543">
        <v>2.5</v>
      </c>
      <c r="D71" s="543">
        <v>2</v>
      </c>
      <c r="E71" s="543">
        <v>1.5</v>
      </c>
      <c r="F71" s="543">
        <v>1</v>
      </c>
      <c r="G71" s="543" t="s">
        <v>949</v>
      </c>
      <c r="H71" s="543" t="s">
        <v>949</v>
      </c>
      <c r="I71" s="31" t="str">
        <f t="shared" si="2"/>
        <v>Cond4</v>
      </c>
    </row>
    <row r="72" spans="1:9" ht="13.9">
      <c r="A72" s="88" t="str">
        <f>'G-1 All Habitats'!B71</f>
        <v>Urban - Rain garden</v>
      </c>
      <c r="B72" s="543">
        <v>3</v>
      </c>
      <c r="C72" s="543">
        <v>2.5</v>
      </c>
      <c r="D72" s="543">
        <v>2</v>
      </c>
      <c r="E72" s="543">
        <v>1.5</v>
      </c>
      <c r="F72" s="543">
        <v>1</v>
      </c>
      <c r="G72" s="543" t="s">
        <v>949</v>
      </c>
      <c r="H72" s="543" t="s">
        <v>949</v>
      </c>
      <c r="I72" s="31" t="str">
        <f t="shared" si="2"/>
        <v>Cond4</v>
      </c>
    </row>
    <row r="73" spans="1:9" ht="13.9">
      <c r="A73" s="88" t="str">
        <f>'G-1 All Habitats'!B72</f>
        <v>Urban - Actively worked sand pit quarry or open cast mine</v>
      </c>
      <c r="B73" s="543" t="s">
        <v>949</v>
      </c>
      <c r="C73" s="543" t="s">
        <v>949</v>
      </c>
      <c r="D73" s="543" t="s">
        <v>949</v>
      </c>
      <c r="E73" s="543" t="s">
        <v>949</v>
      </c>
      <c r="F73" s="543" t="s">
        <v>949</v>
      </c>
      <c r="G73" s="543">
        <v>1</v>
      </c>
      <c r="H73" s="543" t="s">
        <v>949</v>
      </c>
      <c r="I73" s="31" t="str">
        <f t="shared" ref="I73:I86" si="3">IF(G73=1,"Cond1",IF(H73=0,"Cond2",IF(AND(B73=3,C73=2.5,D73=2,E73=1.5,F73=1),"Cond4",IF(F73=1,"Cond3","Check"))))</f>
        <v>Cond1</v>
      </c>
    </row>
    <row r="74" spans="1:9" ht="13.9">
      <c r="A74" s="88" t="str">
        <f>'G-1 All Habitats'!B73</f>
        <v>Urban - Urban Tree</v>
      </c>
      <c r="B74" s="543">
        <v>3</v>
      </c>
      <c r="C74" s="543">
        <v>2.5</v>
      </c>
      <c r="D74" s="543">
        <v>2</v>
      </c>
      <c r="E74" s="543">
        <v>1.5</v>
      </c>
      <c r="F74" s="543">
        <v>1</v>
      </c>
      <c r="G74" s="543" t="s">
        <v>949</v>
      </c>
      <c r="H74" s="543" t="s">
        <v>949</v>
      </c>
      <c r="I74" s="31" t="str">
        <f t="shared" si="3"/>
        <v>Cond4</v>
      </c>
    </row>
    <row r="75" spans="1:9" ht="13.9">
      <c r="A75" s="88" t="str">
        <f>'G-1 All Habitats'!B74</f>
        <v>Urban - Sustainable urban drainage feature</v>
      </c>
      <c r="B75" s="543">
        <v>3</v>
      </c>
      <c r="C75" s="543">
        <v>2.5</v>
      </c>
      <c r="D75" s="543">
        <v>2</v>
      </c>
      <c r="E75" s="543">
        <v>1.5</v>
      </c>
      <c r="F75" s="543">
        <v>1</v>
      </c>
      <c r="G75" s="543" t="s">
        <v>949</v>
      </c>
      <c r="H75" s="543" t="s">
        <v>949</v>
      </c>
      <c r="I75" s="31" t="str">
        <f t="shared" si="3"/>
        <v>Cond4</v>
      </c>
    </row>
    <row r="76" spans="1:9" ht="13.9">
      <c r="A76" s="88" t="str">
        <f>'G-1 All Habitats'!B75</f>
        <v>Urban - Un-vegetated garden</v>
      </c>
      <c r="B76" s="543" t="s">
        <v>949</v>
      </c>
      <c r="C76" s="543" t="s">
        <v>949</v>
      </c>
      <c r="D76" s="543" t="s">
        <v>949</v>
      </c>
      <c r="E76" s="543" t="s">
        <v>949</v>
      </c>
      <c r="F76" s="543" t="s">
        <v>949</v>
      </c>
      <c r="G76" s="543" t="s">
        <v>949</v>
      </c>
      <c r="H76" s="592">
        <v>0</v>
      </c>
      <c r="I76" s="31" t="str">
        <f t="shared" si="3"/>
        <v>Cond2</v>
      </c>
    </row>
    <row r="77" spans="1:9" ht="13.9">
      <c r="A77" s="88" t="str">
        <f>'G-1 All Habitats'!B76</f>
        <v>Urban - Vacant/derelict land/ bareground</v>
      </c>
      <c r="B77" s="543">
        <v>3</v>
      </c>
      <c r="C77" s="543">
        <v>2.5</v>
      </c>
      <c r="D77" s="543">
        <v>2</v>
      </c>
      <c r="E77" s="543">
        <v>1.5</v>
      </c>
      <c r="F77" s="543">
        <v>1</v>
      </c>
      <c r="G77" s="543" t="s">
        <v>949</v>
      </c>
      <c r="H77" s="543" t="s">
        <v>949</v>
      </c>
      <c r="I77" s="31" t="str">
        <f t="shared" si="3"/>
        <v>Cond4</v>
      </c>
    </row>
    <row r="78" spans="1:9" ht="13.9">
      <c r="A78" s="88" t="str">
        <f>'G-1 All Habitats'!B77</f>
        <v>Urban - Vegetated garden</v>
      </c>
      <c r="B78" s="543" t="s">
        <v>949</v>
      </c>
      <c r="C78" s="543" t="s">
        <v>949</v>
      </c>
      <c r="D78" s="543" t="s">
        <v>949</v>
      </c>
      <c r="E78" s="543" t="s">
        <v>949</v>
      </c>
      <c r="F78" s="543" t="s">
        <v>949</v>
      </c>
      <c r="G78" s="543">
        <v>1</v>
      </c>
      <c r="H78" s="543" t="s">
        <v>949</v>
      </c>
      <c r="I78" s="31" t="str">
        <f t="shared" si="3"/>
        <v>Cond1</v>
      </c>
    </row>
    <row r="79" spans="1:9" ht="13.9">
      <c r="A79" s="88" t="str">
        <f>'G-1 All Habitats'!B78</f>
        <v>Wetland - Blanket bog</v>
      </c>
      <c r="B79" s="543">
        <v>3</v>
      </c>
      <c r="C79" s="543">
        <v>2.5</v>
      </c>
      <c r="D79" s="543">
        <v>2</v>
      </c>
      <c r="E79" s="543">
        <v>1.5</v>
      </c>
      <c r="F79" s="543">
        <v>1</v>
      </c>
      <c r="G79" s="543" t="s">
        <v>949</v>
      </c>
      <c r="H79" s="543" t="s">
        <v>949</v>
      </c>
      <c r="I79" s="31" t="str">
        <f t="shared" si="3"/>
        <v>Cond4</v>
      </c>
    </row>
    <row r="80" spans="1:9" ht="13.9">
      <c r="A80" s="88" t="str">
        <f>'G-1 All Habitats'!B79</f>
        <v>Wetland - Depressions on Peat substrates (H7150)</v>
      </c>
      <c r="B80" s="543">
        <v>3</v>
      </c>
      <c r="C80" s="543">
        <v>2.5</v>
      </c>
      <c r="D80" s="543">
        <v>2</v>
      </c>
      <c r="E80" s="543">
        <v>1.5</v>
      </c>
      <c r="F80" s="543">
        <v>1</v>
      </c>
      <c r="G80" s="543" t="s">
        <v>949</v>
      </c>
      <c r="H80" s="543" t="s">
        <v>949</v>
      </c>
      <c r="I80" s="31" t="str">
        <f t="shared" si="3"/>
        <v>Cond4</v>
      </c>
    </row>
    <row r="81" spans="1:9" ht="13.9">
      <c r="A81" s="88" t="str">
        <f>'G-1 All Habitats'!B80</f>
        <v>Wetland - Fens (upland and lowland)</v>
      </c>
      <c r="B81" s="543">
        <v>3</v>
      </c>
      <c r="C81" s="543">
        <v>2.5</v>
      </c>
      <c r="D81" s="543">
        <v>2</v>
      </c>
      <c r="E81" s="543">
        <v>1.5</v>
      </c>
      <c r="F81" s="543">
        <v>1</v>
      </c>
      <c r="G81" s="543" t="s">
        <v>949</v>
      </c>
      <c r="H81" s="543" t="s">
        <v>949</v>
      </c>
      <c r="I81" s="31" t="str">
        <f t="shared" si="3"/>
        <v>Cond4</v>
      </c>
    </row>
    <row r="82" spans="1:9" ht="13.9">
      <c r="A82" s="88" t="str">
        <f>'G-1 All Habitats'!B81</f>
        <v>Wetland - Lowland raised bog</v>
      </c>
      <c r="B82" s="543">
        <v>3</v>
      </c>
      <c r="C82" s="543">
        <v>2.5</v>
      </c>
      <c r="D82" s="543">
        <v>2</v>
      </c>
      <c r="E82" s="543">
        <v>1.5</v>
      </c>
      <c r="F82" s="543">
        <v>1</v>
      </c>
      <c r="G82" s="543" t="s">
        <v>949</v>
      </c>
      <c r="H82" s="543" t="s">
        <v>949</v>
      </c>
      <c r="I82" s="31" t="str">
        <f t="shared" si="3"/>
        <v>Cond4</v>
      </c>
    </row>
    <row r="83" spans="1:9" ht="13.9">
      <c r="A83" s="88" t="str">
        <f>'G-1 All Habitats'!B82</f>
        <v>Wetland - Oceanic Valley Mire[1] (D2.1)</v>
      </c>
      <c r="B83" s="543">
        <v>3</v>
      </c>
      <c r="C83" s="543">
        <v>2.5</v>
      </c>
      <c r="D83" s="543">
        <v>2</v>
      </c>
      <c r="E83" s="543">
        <v>1.5</v>
      </c>
      <c r="F83" s="543">
        <v>1</v>
      </c>
      <c r="G83" s="543" t="s">
        <v>949</v>
      </c>
      <c r="H83" s="543" t="s">
        <v>949</v>
      </c>
      <c r="I83" s="31" t="str">
        <f t="shared" si="3"/>
        <v>Cond4</v>
      </c>
    </row>
    <row r="84" spans="1:9" ht="13.9">
      <c r="A84" s="88" t="str">
        <f>'G-1 All Habitats'!B83</f>
        <v>Wetland - Purple moor grass and rush pastures</v>
      </c>
      <c r="B84" s="543">
        <v>3</v>
      </c>
      <c r="C84" s="543">
        <v>2.5</v>
      </c>
      <c r="D84" s="543">
        <v>2</v>
      </c>
      <c r="E84" s="543">
        <v>1.5</v>
      </c>
      <c r="F84" s="543">
        <v>1</v>
      </c>
      <c r="G84" s="543" t="s">
        <v>949</v>
      </c>
      <c r="H84" s="543" t="s">
        <v>949</v>
      </c>
      <c r="I84" s="31" t="str">
        <f t="shared" si="3"/>
        <v>Cond4</v>
      </c>
    </row>
    <row r="85" spans="1:9" ht="13.9">
      <c r="A85" s="88" t="str">
        <f>'G-1 All Habitats'!B84</f>
        <v>Wetland - Reedbeds</v>
      </c>
      <c r="B85" s="543">
        <v>3</v>
      </c>
      <c r="C85" s="543">
        <v>2.5</v>
      </c>
      <c r="D85" s="543">
        <v>2</v>
      </c>
      <c r="E85" s="543">
        <v>1.5</v>
      </c>
      <c r="F85" s="543">
        <v>1</v>
      </c>
      <c r="G85" s="543" t="s">
        <v>949</v>
      </c>
      <c r="H85" s="543" t="s">
        <v>949</v>
      </c>
      <c r="I85" s="31" t="str">
        <f t="shared" si="3"/>
        <v>Cond4</v>
      </c>
    </row>
    <row r="86" spans="1:9" ht="13.9">
      <c r="A86" s="88" t="str">
        <f>'G-1 All Habitats'!B85</f>
        <v>Wetland - Transition mires and quaking bogs (H7140)</v>
      </c>
      <c r="B86" s="543">
        <v>3</v>
      </c>
      <c r="C86" s="543">
        <v>2.5</v>
      </c>
      <c r="D86" s="543">
        <v>2</v>
      </c>
      <c r="E86" s="543">
        <v>1.5</v>
      </c>
      <c r="F86" s="543">
        <v>1</v>
      </c>
      <c r="G86" s="543" t="s">
        <v>949</v>
      </c>
      <c r="H86" s="543" t="s">
        <v>949</v>
      </c>
      <c r="I86" s="31" t="str">
        <f t="shared" si="3"/>
        <v>Cond4</v>
      </c>
    </row>
    <row r="87" spans="1:9" ht="13.9">
      <c r="A87" s="88" t="str">
        <f>'G-1 All Habitats'!B86</f>
        <v>Woodland and forest - Felled</v>
      </c>
      <c r="B87" s="543">
        <v>3</v>
      </c>
      <c r="C87" s="543" t="s">
        <v>949</v>
      </c>
      <c r="D87" s="543" t="s">
        <v>949</v>
      </c>
      <c r="E87" s="543" t="s">
        <v>949</v>
      </c>
      <c r="F87" s="543" t="s">
        <v>949</v>
      </c>
      <c r="G87" s="543" t="s">
        <v>949</v>
      </c>
      <c r="H87" s="543" t="s">
        <v>949</v>
      </c>
      <c r="I87" s="31" t="s">
        <v>1059</v>
      </c>
    </row>
    <row r="88" spans="1:9" ht="13.9">
      <c r="A88" s="88" t="str">
        <f>'G-1 All Habitats'!B87</f>
        <v>Woodland and forest - Lowland beech and yew woodland</v>
      </c>
      <c r="B88" s="543">
        <v>3</v>
      </c>
      <c r="C88" s="543">
        <v>2.5</v>
      </c>
      <c r="D88" s="543">
        <v>2</v>
      </c>
      <c r="E88" s="543">
        <v>1.5</v>
      </c>
      <c r="F88" s="543">
        <v>1</v>
      </c>
      <c r="G88" s="543" t="s">
        <v>949</v>
      </c>
      <c r="H88" s="543" t="s">
        <v>949</v>
      </c>
      <c r="I88" s="31" t="str">
        <f t="shared" ref="I88:I130" si="4">IF(G88=1,"Cond1",IF(H88=0,"Cond2",IF(AND(B88=3,C88=2.5,D88=2,E88=1.5,F88=1),"Cond4",IF(F88=1,"Cond3","Check"))))</f>
        <v>Cond4</v>
      </c>
    </row>
    <row r="89" spans="1:9" ht="13.9">
      <c r="A89" s="88" t="str">
        <f>'G-1 All Habitats'!B88</f>
        <v>Woodland and forest - Lowland mixed deciduous woodland</v>
      </c>
      <c r="B89" s="543">
        <v>3</v>
      </c>
      <c r="C89" s="543">
        <v>2.5</v>
      </c>
      <c r="D89" s="543">
        <v>2</v>
      </c>
      <c r="E89" s="543">
        <v>1.5</v>
      </c>
      <c r="F89" s="543">
        <v>1</v>
      </c>
      <c r="G89" s="543" t="s">
        <v>949</v>
      </c>
      <c r="H89" s="543" t="s">
        <v>949</v>
      </c>
      <c r="I89" s="31" t="str">
        <f t="shared" si="4"/>
        <v>Cond4</v>
      </c>
    </row>
    <row r="90" spans="1:9" ht="13.9">
      <c r="A90" s="88" t="str">
        <f>'G-1 All Habitats'!B89</f>
        <v>Woodland and forest - Native pine woodlands</v>
      </c>
      <c r="B90" s="543">
        <v>3</v>
      </c>
      <c r="C90" s="543">
        <v>2.5</v>
      </c>
      <c r="D90" s="543">
        <v>2</v>
      </c>
      <c r="E90" s="543">
        <v>1.5</v>
      </c>
      <c r="F90" s="543">
        <v>1</v>
      </c>
      <c r="G90" s="543" t="s">
        <v>949</v>
      </c>
      <c r="H90" s="543" t="s">
        <v>949</v>
      </c>
      <c r="I90" s="31" t="str">
        <f t="shared" si="4"/>
        <v>Cond4</v>
      </c>
    </row>
    <row r="91" spans="1:9" ht="13.9">
      <c r="A91" s="88" t="str">
        <f>'G-1 All Habitats'!B90</f>
        <v>Woodland and forest - Other coniferous woodland</v>
      </c>
      <c r="B91" s="543">
        <v>3</v>
      </c>
      <c r="C91" s="543">
        <v>2.5</v>
      </c>
      <c r="D91" s="543">
        <v>2</v>
      </c>
      <c r="E91" s="543">
        <v>1.5</v>
      </c>
      <c r="F91" s="543">
        <v>1</v>
      </c>
      <c r="G91" s="543" t="s">
        <v>949</v>
      </c>
      <c r="H91" s="543" t="s">
        <v>949</v>
      </c>
      <c r="I91" s="31" t="str">
        <f t="shared" si="4"/>
        <v>Cond4</v>
      </c>
    </row>
    <row r="92" spans="1:9" ht="13.9">
      <c r="A92" s="88" t="str">
        <f>'G-1 All Habitats'!B91</f>
        <v>Woodland and forest - Other Scot's Pine woodland</v>
      </c>
      <c r="B92" s="543">
        <v>3</v>
      </c>
      <c r="C92" s="543">
        <v>2.5</v>
      </c>
      <c r="D92" s="543">
        <v>2</v>
      </c>
      <c r="E92" s="543">
        <v>1.5</v>
      </c>
      <c r="F92" s="543">
        <v>1</v>
      </c>
      <c r="G92" s="543" t="s">
        <v>949</v>
      </c>
      <c r="H92" s="543" t="s">
        <v>949</v>
      </c>
      <c r="I92" s="31" t="str">
        <f t="shared" si="4"/>
        <v>Cond4</v>
      </c>
    </row>
    <row r="93" spans="1:9" ht="13.9">
      <c r="A93" s="88" t="str">
        <f>'G-1 All Habitats'!B92</f>
        <v>Woodland and forest - Other woodland; broadleaved</v>
      </c>
      <c r="B93" s="543">
        <v>3</v>
      </c>
      <c r="C93" s="543">
        <v>2.5</v>
      </c>
      <c r="D93" s="543">
        <v>2</v>
      </c>
      <c r="E93" s="543">
        <v>1.5</v>
      </c>
      <c r="F93" s="543">
        <v>1</v>
      </c>
      <c r="G93" s="543" t="s">
        <v>949</v>
      </c>
      <c r="H93" s="543" t="s">
        <v>949</v>
      </c>
      <c r="I93" s="31" t="str">
        <f t="shared" si="4"/>
        <v>Cond4</v>
      </c>
    </row>
    <row r="94" spans="1:9" ht="13.9">
      <c r="A94" s="88" t="str">
        <f>'G-1 All Habitats'!B93</f>
        <v>Woodland and forest - Other woodland; mixed</v>
      </c>
      <c r="B94" s="543">
        <v>3</v>
      </c>
      <c r="C94" s="543">
        <v>2.5</v>
      </c>
      <c r="D94" s="543">
        <v>2</v>
      </c>
      <c r="E94" s="543">
        <v>1.5</v>
      </c>
      <c r="F94" s="543">
        <v>1</v>
      </c>
      <c r="G94" s="543" t="s">
        <v>949</v>
      </c>
      <c r="H94" s="543" t="s">
        <v>949</v>
      </c>
      <c r="I94" s="31" t="str">
        <f t="shared" si="4"/>
        <v>Cond4</v>
      </c>
    </row>
    <row r="95" spans="1:9" ht="13.9">
      <c r="A95" s="88" t="str">
        <f>'G-1 All Habitats'!B94</f>
        <v>Woodland and forest - Upland birchwoods</v>
      </c>
      <c r="B95" s="543">
        <v>3</v>
      </c>
      <c r="C95" s="543">
        <v>2.5</v>
      </c>
      <c r="D95" s="543">
        <v>2</v>
      </c>
      <c r="E95" s="543">
        <v>1.5</v>
      </c>
      <c r="F95" s="543">
        <v>1</v>
      </c>
      <c r="G95" s="543" t="s">
        <v>949</v>
      </c>
      <c r="H95" s="543" t="s">
        <v>949</v>
      </c>
      <c r="I95" s="31" t="str">
        <f t="shared" si="4"/>
        <v>Cond4</v>
      </c>
    </row>
    <row r="96" spans="1:9" ht="13.9">
      <c r="A96" s="88" t="str">
        <f>'G-1 All Habitats'!B95</f>
        <v>Woodland and forest - Upland mixed ashwoods</v>
      </c>
      <c r="B96" s="543">
        <v>3</v>
      </c>
      <c r="C96" s="543">
        <v>2.5</v>
      </c>
      <c r="D96" s="543">
        <v>2</v>
      </c>
      <c r="E96" s="543">
        <v>1.5</v>
      </c>
      <c r="F96" s="543">
        <v>1</v>
      </c>
      <c r="G96" s="543" t="s">
        <v>949</v>
      </c>
      <c r="H96" s="543" t="s">
        <v>949</v>
      </c>
      <c r="I96" s="31" t="str">
        <f t="shared" si="4"/>
        <v>Cond4</v>
      </c>
    </row>
    <row r="97" spans="1:9" ht="13.9">
      <c r="A97" s="88" t="str">
        <f>'G-1 All Habitats'!B96</f>
        <v>Woodland and forest - Upland oakwood</v>
      </c>
      <c r="B97" s="543">
        <v>3</v>
      </c>
      <c r="C97" s="543">
        <v>2.5</v>
      </c>
      <c r="D97" s="543">
        <v>2</v>
      </c>
      <c r="E97" s="543">
        <v>1.5</v>
      </c>
      <c r="F97" s="543">
        <v>1</v>
      </c>
      <c r="G97" s="543" t="s">
        <v>949</v>
      </c>
      <c r="H97" s="543" t="s">
        <v>949</v>
      </c>
      <c r="I97" s="31" t="str">
        <f t="shared" si="4"/>
        <v>Cond4</v>
      </c>
    </row>
    <row r="98" spans="1:9" ht="13.9">
      <c r="A98" s="88" t="str">
        <f>'G-1 All Habitats'!B97</f>
        <v>Woodland and forest - Wet woodland</v>
      </c>
      <c r="B98" s="543">
        <v>3</v>
      </c>
      <c r="C98" s="543">
        <v>2.5</v>
      </c>
      <c r="D98" s="543">
        <v>2</v>
      </c>
      <c r="E98" s="543">
        <v>1.5</v>
      </c>
      <c r="F98" s="543">
        <v>1</v>
      </c>
      <c r="G98" s="543" t="s">
        <v>949</v>
      </c>
      <c r="H98" s="543" t="s">
        <v>949</v>
      </c>
      <c r="I98" s="31" t="str">
        <f t="shared" si="4"/>
        <v>Cond4</v>
      </c>
    </row>
    <row r="99" spans="1:9" ht="13.9">
      <c r="A99" s="88" t="str">
        <f>'G-1 All Habitats'!B98</f>
        <v>Woodland and forest - Wood-pasture and parkland</v>
      </c>
      <c r="B99" s="543">
        <v>3</v>
      </c>
      <c r="C99" s="543">
        <v>2.5</v>
      </c>
      <c r="D99" s="543">
        <v>2</v>
      </c>
      <c r="E99" s="543">
        <v>1.5</v>
      </c>
      <c r="F99" s="543">
        <v>1</v>
      </c>
      <c r="G99" s="543" t="s">
        <v>949</v>
      </c>
      <c r="H99" s="543" t="s">
        <v>949</v>
      </c>
      <c r="I99" s="31" t="str">
        <f t="shared" si="4"/>
        <v>Cond4</v>
      </c>
    </row>
    <row r="100" spans="1:9" ht="13.9">
      <c r="A100" s="88" t="str">
        <f>'G-1 All Habitats'!B99</f>
        <v>Coastal lagoons - Coastal lagoons</v>
      </c>
      <c r="B100" s="543">
        <v>3</v>
      </c>
      <c r="C100" s="543">
        <v>2.5</v>
      </c>
      <c r="D100" s="543">
        <v>2</v>
      </c>
      <c r="E100" s="543">
        <v>1.5</v>
      </c>
      <c r="F100" s="543">
        <v>1</v>
      </c>
      <c r="G100" s="543" t="s">
        <v>949</v>
      </c>
      <c r="H100" s="543" t="s">
        <v>949</v>
      </c>
      <c r="I100" s="31" t="str">
        <f t="shared" si="4"/>
        <v>Cond4</v>
      </c>
    </row>
    <row r="101" spans="1:9" ht="13.9">
      <c r="A101" s="88" t="str">
        <f>'G-1 All Habitats'!B100</f>
        <v>Rocky shore - High energy littoral rock</v>
      </c>
      <c r="B101" s="543">
        <v>3</v>
      </c>
      <c r="C101" s="543">
        <v>2.5</v>
      </c>
      <c r="D101" s="543">
        <v>2</v>
      </c>
      <c r="E101" s="543">
        <v>1.5</v>
      </c>
      <c r="F101" s="543">
        <v>1</v>
      </c>
      <c r="G101" s="543" t="s">
        <v>949</v>
      </c>
      <c r="H101" s="543" t="s">
        <v>949</v>
      </c>
      <c r="I101" s="31" t="str">
        <f t="shared" si="4"/>
        <v>Cond4</v>
      </c>
    </row>
    <row r="102" spans="1:9" ht="13.9">
      <c r="A102" s="88" t="str">
        <f>'G-1 All Habitats'!B101</f>
        <v>Rocky shore - High energy littoral rock - on peat, clay or chalk</v>
      </c>
      <c r="B102" s="543">
        <v>3</v>
      </c>
      <c r="C102" s="543">
        <v>2.5</v>
      </c>
      <c r="D102" s="543">
        <v>2</v>
      </c>
      <c r="E102" s="543">
        <v>1.5</v>
      </c>
      <c r="F102" s="543">
        <v>1</v>
      </c>
      <c r="G102" s="543" t="s">
        <v>949</v>
      </c>
      <c r="H102" s="543" t="s">
        <v>949</v>
      </c>
      <c r="I102" s="31" t="str">
        <f t="shared" si="4"/>
        <v>Cond4</v>
      </c>
    </row>
    <row r="103" spans="1:9" ht="13.9">
      <c r="A103" s="88" t="str">
        <f>'G-1 All Habitats'!B102</f>
        <v>Rocky shore - Moderate energy littoral rock</v>
      </c>
      <c r="B103" s="543">
        <v>3</v>
      </c>
      <c r="C103" s="543">
        <v>2.5</v>
      </c>
      <c r="D103" s="543">
        <v>2</v>
      </c>
      <c r="E103" s="543">
        <v>1.5</v>
      </c>
      <c r="F103" s="543">
        <v>1</v>
      </c>
      <c r="G103" s="543" t="s">
        <v>949</v>
      </c>
      <c r="H103" s="543" t="s">
        <v>949</v>
      </c>
      <c r="I103" s="31" t="str">
        <f t="shared" si="4"/>
        <v>Cond4</v>
      </c>
    </row>
    <row r="104" spans="1:9" ht="13.9">
      <c r="A104" s="88" t="str">
        <f>'G-1 All Habitats'!B103</f>
        <v>Rocky shore - Moderate energy littoral rock - on peat, clay or chalk</v>
      </c>
      <c r="B104" s="543">
        <v>3</v>
      </c>
      <c r="C104" s="543">
        <v>2.5</v>
      </c>
      <c r="D104" s="543">
        <v>2</v>
      </c>
      <c r="E104" s="543">
        <v>1.5</v>
      </c>
      <c r="F104" s="543">
        <v>1</v>
      </c>
      <c r="G104" s="543" t="s">
        <v>949</v>
      </c>
      <c r="H104" s="543" t="s">
        <v>949</v>
      </c>
      <c r="I104" s="31" t="str">
        <f t="shared" si="4"/>
        <v>Cond4</v>
      </c>
    </row>
    <row r="105" spans="1:9" ht="13.9">
      <c r="A105" s="88" t="str">
        <f>'G-1 All Habitats'!B104</f>
        <v>Rocky shore - Low energy littoral rock</v>
      </c>
      <c r="B105" s="543">
        <v>3</v>
      </c>
      <c r="C105" s="543">
        <v>2.5</v>
      </c>
      <c r="D105" s="543">
        <v>2</v>
      </c>
      <c r="E105" s="543">
        <v>1.5</v>
      </c>
      <c r="F105" s="543">
        <v>1</v>
      </c>
      <c r="G105" s="543" t="s">
        <v>949</v>
      </c>
      <c r="H105" s="543" t="s">
        <v>949</v>
      </c>
      <c r="I105" s="31" t="str">
        <f t="shared" si="4"/>
        <v>Cond4</v>
      </c>
    </row>
    <row r="106" spans="1:9" ht="13.9">
      <c r="A106" s="88" t="str">
        <f>'G-1 All Habitats'!B105</f>
        <v>Rocky shore - Low energy littoral rock - on peat, clay or chalk</v>
      </c>
      <c r="B106" s="543">
        <v>3</v>
      </c>
      <c r="C106" s="543">
        <v>2.5</v>
      </c>
      <c r="D106" s="543">
        <v>2</v>
      </c>
      <c r="E106" s="543">
        <v>1.5</v>
      </c>
      <c r="F106" s="543">
        <v>1</v>
      </c>
      <c r="G106" s="543" t="s">
        <v>949</v>
      </c>
      <c r="H106" s="543" t="s">
        <v>949</v>
      </c>
      <c r="I106" s="31" t="str">
        <f t="shared" si="4"/>
        <v>Cond4</v>
      </c>
    </row>
    <row r="107" spans="1:9" ht="13.9">
      <c r="A107" s="88" t="str">
        <f>'G-1 All Habitats'!B106</f>
        <v>Rocky shore - Features of littoral rock</v>
      </c>
      <c r="B107" s="543">
        <v>3</v>
      </c>
      <c r="C107" s="543">
        <v>2.5</v>
      </c>
      <c r="D107" s="543">
        <v>2</v>
      </c>
      <c r="E107" s="543">
        <v>1.5</v>
      </c>
      <c r="F107" s="543">
        <v>1</v>
      </c>
      <c r="G107" s="543" t="s">
        <v>949</v>
      </c>
      <c r="H107" s="543" t="s">
        <v>949</v>
      </c>
      <c r="I107" s="31" t="str">
        <f t="shared" si="4"/>
        <v>Cond4</v>
      </c>
    </row>
    <row r="108" spans="1:9" ht="13.9">
      <c r="A108" s="88" t="str">
        <f>'G-1 All Habitats'!B107</f>
        <v>Rocky shore - Features of littoral rock - on peat, clay or chalk</v>
      </c>
      <c r="B108" s="543">
        <v>3</v>
      </c>
      <c r="C108" s="543">
        <v>2.5</v>
      </c>
      <c r="D108" s="543">
        <v>2</v>
      </c>
      <c r="E108" s="543">
        <v>1.5</v>
      </c>
      <c r="F108" s="543">
        <v>1</v>
      </c>
      <c r="G108" s="543" t="s">
        <v>949</v>
      </c>
      <c r="H108" s="543" t="s">
        <v>949</v>
      </c>
      <c r="I108" s="31" t="str">
        <f t="shared" si="4"/>
        <v>Cond4</v>
      </c>
    </row>
    <row r="109" spans="1:9" ht="13.9">
      <c r="A109" s="88" t="str">
        <f>'G-1 All Habitats'!B110</f>
        <v>Intertidal sediment - Littoral coarse sediment</v>
      </c>
      <c r="B109" s="543">
        <v>3</v>
      </c>
      <c r="C109" s="543">
        <v>2.5</v>
      </c>
      <c r="D109" s="543">
        <v>2</v>
      </c>
      <c r="E109" s="543">
        <v>1.5</v>
      </c>
      <c r="F109" s="543">
        <v>1</v>
      </c>
      <c r="G109" s="543" t="s">
        <v>949</v>
      </c>
      <c r="H109" s="543" t="s">
        <v>949</v>
      </c>
      <c r="I109" s="31" t="str">
        <f t="shared" si="4"/>
        <v>Cond4</v>
      </c>
    </row>
    <row r="110" spans="1:9" ht="13.9">
      <c r="A110" s="88" t="str">
        <f>'G-1 All Habitats'!B111</f>
        <v>Intertidal sediment - Littoral mud</v>
      </c>
      <c r="B110" s="543">
        <v>3</v>
      </c>
      <c r="C110" s="543">
        <v>2.5</v>
      </c>
      <c r="D110" s="543">
        <v>2</v>
      </c>
      <c r="E110" s="543">
        <v>1.5</v>
      </c>
      <c r="F110" s="543">
        <v>1</v>
      </c>
      <c r="G110" s="543" t="s">
        <v>949</v>
      </c>
      <c r="H110" s="543" t="s">
        <v>949</v>
      </c>
      <c r="I110" s="31" t="str">
        <f t="shared" si="4"/>
        <v>Cond4</v>
      </c>
    </row>
    <row r="111" spans="1:9" ht="13.9">
      <c r="A111" s="88" t="str">
        <f>'G-1 All Habitats'!B112</f>
        <v>Intertidal sediment - Littoral mixed sediments</v>
      </c>
      <c r="B111" s="543">
        <v>3</v>
      </c>
      <c r="C111" s="543">
        <v>2.5</v>
      </c>
      <c r="D111" s="543">
        <v>2</v>
      </c>
      <c r="E111" s="543">
        <v>1.5</v>
      </c>
      <c r="F111" s="543">
        <v>1</v>
      </c>
      <c r="G111" s="543" t="s">
        <v>949</v>
      </c>
      <c r="H111" s="543" t="s">
        <v>949</v>
      </c>
      <c r="I111" s="31" t="str">
        <f t="shared" si="4"/>
        <v>Cond4</v>
      </c>
    </row>
    <row r="112" spans="1:9" ht="13.9">
      <c r="A112" s="88" t="str">
        <f>'G-1 All Habitats'!B108</f>
        <v>Coastal saltmarsh - Saltmarshes and saline reedbeds</v>
      </c>
      <c r="B112" s="543">
        <v>3</v>
      </c>
      <c r="C112" s="543">
        <v>2.5</v>
      </c>
      <c r="D112" s="543">
        <v>2</v>
      </c>
      <c r="E112" s="543">
        <v>1.5</v>
      </c>
      <c r="F112" s="543">
        <v>1</v>
      </c>
      <c r="G112" s="543" t="s">
        <v>949</v>
      </c>
      <c r="H112" s="543" t="s">
        <v>949</v>
      </c>
      <c r="I112" s="31" t="str">
        <f t="shared" si="4"/>
        <v>Cond4</v>
      </c>
    </row>
    <row r="113" spans="1:9" ht="13.9">
      <c r="A113" s="88" t="str">
        <f>'G-1 All Habitats'!B109</f>
        <v>Coastal saltmarsh - Artificial saltmarshes and saline reedbeds</v>
      </c>
      <c r="B113" s="543">
        <v>3</v>
      </c>
      <c r="C113" s="543">
        <v>2.5</v>
      </c>
      <c r="D113" s="543">
        <v>2</v>
      </c>
      <c r="E113" s="543">
        <v>1.5</v>
      </c>
      <c r="F113" s="543">
        <v>1</v>
      </c>
      <c r="G113" s="543" t="s">
        <v>949</v>
      </c>
      <c r="H113" s="543" t="s">
        <v>949</v>
      </c>
      <c r="I113" s="31" t="str">
        <f t="shared" si="4"/>
        <v>Cond4</v>
      </c>
    </row>
    <row r="114" spans="1:9" ht="13.9">
      <c r="A114" s="88" t="str">
        <f>'G-1 All Habitats'!B113</f>
        <v>Intertidal sediment - Littoral seagrass</v>
      </c>
      <c r="B114" s="543">
        <v>3</v>
      </c>
      <c r="C114" s="543">
        <v>2.5</v>
      </c>
      <c r="D114" s="543">
        <v>2</v>
      </c>
      <c r="E114" s="543">
        <v>1.5</v>
      </c>
      <c r="F114" s="543">
        <v>1</v>
      </c>
      <c r="G114" s="543" t="s">
        <v>949</v>
      </c>
      <c r="H114" s="543" t="s">
        <v>949</v>
      </c>
      <c r="I114" s="31" t="str">
        <f t="shared" si="4"/>
        <v>Cond4</v>
      </c>
    </row>
    <row r="115" spans="1:9" ht="13.9">
      <c r="A115" s="88" t="str">
        <f>'G-1 All Habitats'!B114</f>
        <v>Intertidal sediment - Littoral seagrass on peat, clay or chalk</v>
      </c>
      <c r="B115" s="543">
        <v>3</v>
      </c>
      <c r="C115" s="543">
        <v>2.5</v>
      </c>
      <c r="D115" s="543">
        <v>2</v>
      </c>
      <c r="E115" s="543">
        <v>1.5</v>
      </c>
      <c r="F115" s="543">
        <v>1</v>
      </c>
      <c r="G115" s="543" t="s">
        <v>949</v>
      </c>
      <c r="H115" s="543" t="s">
        <v>949</v>
      </c>
      <c r="I115" s="31" t="str">
        <f t="shared" si="4"/>
        <v>Cond4</v>
      </c>
    </row>
    <row r="116" spans="1:9" ht="13.9">
      <c r="A116" s="88" t="str">
        <f>'G-1 All Habitats'!B115</f>
        <v>Intertidal sediment - Littoral biogenic reefs - Mussels</v>
      </c>
      <c r="B116" s="543">
        <v>3</v>
      </c>
      <c r="C116" s="543">
        <v>2.5</v>
      </c>
      <c r="D116" s="543">
        <v>2</v>
      </c>
      <c r="E116" s="543">
        <v>1.5</v>
      </c>
      <c r="F116" s="543">
        <v>1</v>
      </c>
      <c r="G116" s="543" t="s">
        <v>949</v>
      </c>
      <c r="H116" s="543" t="s">
        <v>949</v>
      </c>
      <c r="I116" s="31" t="str">
        <f t="shared" si="4"/>
        <v>Cond4</v>
      </c>
    </row>
    <row r="117" spans="1:9" ht="13.9">
      <c r="A117" s="88" t="str">
        <f>'G-1 All Habitats'!B116</f>
        <v>Intertidal sediment - Littoral biogenic reefs - Sabellaria</v>
      </c>
      <c r="B117" s="543">
        <v>3</v>
      </c>
      <c r="C117" s="543">
        <v>2.5</v>
      </c>
      <c r="D117" s="543">
        <v>2</v>
      </c>
      <c r="E117" s="543">
        <v>1.5</v>
      </c>
      <c r="F117" s="543">
        <v>1</v>
      </c>
      <c r="G117" s="543" t="s">
        <v>949</v>
      </c>
      <c r="H117" s="543" t="s">
        <v>949</v>
      </c>
      <c r="I117" s="31" t="str">
        <f t="shared" si="4"/>
        <v>Cond4</v>
      </c>
    </row>
    <row r="118" spans="1:9" ht="13.9">
      <c r="A118" s="88" t="str">
        <f>'G-1 All Habitats'!B117</f>
        <v>Intertidal sediment - Features of littoral sediment</v>
      </c>
      <c r="B118" s="543">
        <v>3</v>
      </c>
      <c r="C118" s="543">
        <v>2.5</v>
      </c>
      <c r="D118" s="543">
        <v>2</v>
      </c>
      <c r="E118" s="543">
        <v>1.5</v>
      </c>
      <c r="F118" s="543">
        <v>1</v>
      </c>
      <c r="G118" s="543" t="s">
        <v>949</v>
      </c>
      <c r="H118" s="543" t="s">
        <v>949</v>
      </c>
      <c r="I118" s="31" t="str">
        <f t="shared" si="4"/>
        <v>Cond4</v>
      </c>
    </row>
    <row r="119" spans="1:9" ht="13.9">
      <c r="A119" s="88" t="str">
        <f>'G-1 All Habitats'!B118</f>
        <v>Intertidal sediment - Artificial littoral coarse sediment</v>
      </c>
      <c r="B119" s="543">
        <v>3</v>
      </c>
      <c r="C119" s="543">
        <v>2.5</v>
      </c>
      <c r="D119" s="543">
        <v>2</v>
      </c>
      <c r="E119" s="543">
        <v>1.5</v>
      </c>
      <c r="F119" s="543">
        <v>1</v>
      </c>
      <c r="G119" s="543" t="s">
        <v>949</v>
      </c>
      <c r="H119" s="543" t="s">
        <v>949</v>
      </c>
      <c r="I119" s="31" t="str">
        <f t="shared" si="4"/>
        <v>Cond4</v>
      </c>
    </row>
    <row r="120" spans="1:9" ht="13.9">
      <c r="A120" s="88" t="str">
        <f>'G-1 All Habitats'!B119</f>
        <v>Intertidal sediment - Artificial littoral mud</v>
      </c>
      <c r="B120" s="543">
        <v>3</v>
      </c>
      <c r="C120" s="543">
        <v>2.5</v>
      </c>
      <c r="D120" s="543">
        <v>2</v>
      </c>
      <c r="E120" s="543">
        <v>1.5</v>
      </c>
      <c r="F120" s="543">
        <v>1</v>
      </c>
      <c r="G120" s="543" t="s">
        <v>949</v>
      </c>
      <c r="H120" s="543" t="s">
        <v>949</v>
      </c>
      <c r="I120" s="31" t="str">
        <f t="shared" si="4"/>
        <v>Cond4</v>
      </c>
    </row>
    <row r="121" spans="1:9" ht="13.9">
      <c r="A121" s="88" t="str">
        <f>'G-1 All Habitats'!B120</f>
        <v>Intertidal sediment - Artificial littoral sand</v>
      </c>
      <c r="B121" s="543">
        <v>3</v>
      </c>
      <c r="C121" s="543">
        <v>2.5</v>
      </c>
      <c r="D121" s="543">
        <v>2</v>
      </c>
      <c r="E121" s="543">
        <v>1.5</v>
      </c>
      <c r="F121" s="543">
        <v>1</v>
      </c>
      <c r="G121" s="543" t="s">
        <v>949</v>
      </c>
      <c r="H121" s="543" t="s">
        <v>949</v>
      </c>
      <c r="I121" s="31" t="str">
        <f t="shared" si="4"/>
        <v>Cond4</v>
      </c>
    </row>
    <row r="122" spans="1:9" ht="13.9">
      <c r="A122" s="88" t="str">
        <f>'G-1 All Habitats'!B121</f>
        <v>Intertidal sediment - Artificial littoral muddy sand</v>
      </c>
      <c r="B122" s="543">
        <v>3</v>
      </c>
      <c r="C122" s="543">
        <v>2.5</v>
      </c>
      <c r="D122" s="543">
        <v>2</v>
      </c>
      <c r="E122" s="543">
        <v>1.5</v>
      </c>
      <c r="F122" s="543">
        <v>1</v>
      </c>
      <c r="G122" s="543" t="s">
        <v>949</v>
      </c>
      <c r="H122" s="543" t="s">
        <v>949</v>
      </c>
      <c r="I122" s="31" t="str">
        <f t="shared" si="4"/>
        <v>Cond4</v>
      </c>
    </row>
    <row r="123" spans="1:9" ht="13.9">
      <c r="A123" s="88" t="str">
        <f>'G-1 All Habitats'!B122</f>
        <v>Intertidal sediment - Artificial littoral mixed sediments</v>
      </c>
      <c r="B123" s="543">
        <v>3</v>
      </c>
      <c r="C123" s="543">
        <v>2.5</v>
      </c>
      <c r="D123" s="543">
        <v>2</v>
      </c>
      <c r="E123" s="543">
        <v>1.5</v>
      </c>
      <c r="F123" s="543">
        <v>1</v>
      </c>
      <c r="G123" s="543" t="s">
        <v>949</v>
      </c>
      <c r="H123" s="543" t="s">
        <v>949</v>
      </c>
      <c r="I123" s="31" t="str">
        <f t="shared" si="4"/>
        <v>Cond4</v>
      </c>
    </row>
    <row r="124" spans="1:9" ht="13.9">
      <c r="A124" s="88" t="str">
        <f>'G-1 All Habitats'!B123</f>
        <v>Intertidal sediment - Artificial littoral seagrass</v>
      </c>
      <c r="B124" s="543">
        <v>3</v>
      </c>
      <c r="C124" s="543">
        <v>2.5</v>
      </c>
      <c r="D124" s="543">
        <v>2</v>
      </c>
      <c r="E124" s="543">
        <v>1.5</v>
      </c>
      <c r="F124" s="543">
        <v>1</v>
      </c>
      <c r="G124" s="543" t="s">
        <v>949</v>
      </c>
      <c r="H124" s="543" t="s">
        <v>949</v>
      </c>
      <c r="I124" s="31" t="str">
        <f t="shared" si="4"/>
        <v>Cond4</v>
      </c>
    </row>
    <row r="125" spans="1:9" ht="13.9">
      <c r="A125" s="88" t="str">
        <f>'G-1 All Habitats'!B124</f>
        <v>Intertidal sediment - Artificial littoral biogenic reefs</v>
      </c>
      <c r="B125" s="543">
        <v>3</v>
      </c>
      <c r="C125" s="543">
        <v>2.5</v>
      </c>
      <c r="D125" s="543">
        <v>2</v>
      </c>
      <c r="E125" s="543">
        <v>1.5</v>
      </c>
      <c r="F125" s="543">
        <v>1</v>
      </c>
      <c r="G125" s="543" t="s">
        <v>949</v>
      </c>
      <c r="H125" s="543" t="s">
        <v>949</v>
      </c>
      <c r="I125" s="31" t="str">
        <f t="shared" si="4"/>
        <v>Cond4</v>
      </c>
    </row>
    <row r="126" spans="1:9" ht="13.9">
      <c r="A126" s="88" t="str">
        <f>'G-1 All Habitats'!B125</f>
        <v>Intertidal sediment - Littoral sand</v>
      </c>
      <c r="B126" s="543">
        <v>3</v>
      </c>
      <c r="C126" s="543">
        <v>2.5</v>
      </c>
      <c r="D126" s="543">
        <v>2</v>
      </c>
      <c r="E126" s="543">
        <v>1.5</v>
      </c>
      <c r="F126" s="543">
        <v>1</v>
      </c>
      <c r="G126" s="543" t="s">
        <v>949</v>
      </c>
      <c r="H126" s="543" t="s">
        <v>949</v>
      </c>
      <c r="I126" s="31" t="str">
        <f t="shared" si="4"/>
        <v>Cond4</v>
      </c>
    </row>
    <row r="127" spans="1:9" ht="13.9">
      <c r="A127" s="88" t="str">
        <f>'G-1 All Habitats'!B126</f>
        <v>Intertidal sediment - Littoral muddy sand</v>
      </c>
      <c r="B127" s="543">
        <v>3</v>
      </c>
      <c r="C127" s="543">
        <v>2.5</v>
      </c>
      <c r="D127" s="543">
        <v>2</v>
      </c>
      <c r="E127" s="543">
        <v>1.5</v>
      </c>
      <c r="F127" s="543">
        <v>1</v>
      </c>
      <c r="G127" s="543" t="s">
        <v>949</v>
      </c>
      <c r="H127" s="543" t="s">
        <v>949</v>
      </c>
      <c r="I127" s="31" t="str">
        <f t="shared" si="4"/>
        <v>Cond4</v>
      </c>
    </row>
    <row r="128" spans="1:9" ht="13.9">
      <c r="A128" s="88" t="str">
        <f>'G-1 All Habitats'!B127</f>
        <v>Intertidal Hard Structures - Artificial hard structures</v>
      </c>
      <c r="B128" s="543">
        <v>3</v>
      </c>
      <c r="C128" s="543">
        <v>2.5</v>
      </c>
      <c r="D128" s="543">
        <v>2</v>
      </c>
      <c r="E128" s="543">
        <v>1.5</v>
      </c>
      <c r="F128" s="543">
        <v>1</v>
      </c>
      <c r="G128" s="543" t="s">
        <v>949</v>
      </c>
      <c r="H128" s="543" t="s">
        <v>949</v>
      </c>
      <c r="I128" s="31" t="str">
        <f t="shared" si="4"/>
        <v>Cond4</v>
      </c>
    </row>
    <row r="129" spans="1:9" ht="13.9">
      <c r="A129" s="88" t="str">
        <f>'G-1 All Habitats'!B128</f>
        <v>Intertidal Hard Structures - Artificial features of hard structures</v>
      </c>
      <c r="B129" s="543">
        <v>3</v>
      </c>
      <c r="C129" s="543">
        <v>2.5</v>
      </c>
      <c r="D129" s="543">
        <v>2</v>
      </c>
      <c r="E129" s="543">
        <v>1.5</v>
      </c>
      <c r="F129" s="543">
        <v>1</v>
      </c>
      <c r="G129" s="543" t="s">
        <v>949</v>
      </c>
      <c r="H129" s="543" t="s">
        <v>949</v>
      </c>
      <c r="I129" s="31" t="str">
        <f t="shared" si="4"/>
        <v>Cond4</v>
      </c>
    </row>
    <row r="130" spans="1:9" ht="13.9">
      <c r="A130" s="88" t="str">
        <f>'G-1 All Habitats'!B129</f>
        <v>Intertidal Hard Structures - Artificial hard structures with Integrated Greening of Grey Infrastructure (IGGI)</v>
      </c>
      <c r="B130" s="543">
        <v>3</v>
      </c>
      <c r="C130" s="543">
        <v>2.5</v>
      </c>
      <c r="D130" s="543">
        <v>2</v>
      </c>
      <c r="E130" s="543">
        <v>1.5</v>
      </c>
      <c r="F130" s="543">
        <v>1</v>
      </c>
      <c r="G130" s="543" t="s">
        <v>949</v>
      </c>
      <c r="H130" s="543" t="s">
        <v>949</v>
      </c>
      <c r="I130" s="31" t="str">
        <f t="shared" si="4"/>
        <v>Cond4</v>
      </c>
    </row>
    <row r="131" spans="1:9" ht="13.9"/>
    <row r="132" spans="1:9" ht="13.9"/>
    <row r="133" spans="1:9" ht="14.45" customHeight="1"/>
    <row r="134" spans="1:9" ht="14.45" customHeight="1"/>
    <row r="135" spans="1:9" ht="14.45" customHeight="1"/>
    <row r="136" spans="1:9" ht="14.45" customHeight="1"/>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topLeftCell="A61" zoomScale="110" zoomScaleNormal="110" workbookViewId="0">
      <selection activeCell="B91" sqref="B91"/>
    </sheetView>
  </sheetViews>
  <sheetFormatPr defaultColWidth="0" defaultRowHeight="14.45" zeroHeight="1"/>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row r="2" spans="2:4" ht="15.6">
      <c r="B2" s="123" t="s">
        <v>1060</v>
      </c>
      <c r="C2" s="123" t="s">
        <v>1061</v>
      </c>
      <c r="D2" s="123" t="s">
        <v>1062</v>
      </c>
    </row>
    <row r="3" spans="2:4">
      <c r="B3" s="648" t="s">
        <v>1063</v>
      </c>
      <c r="C3" s="543" t="s">
        <v>713</v>
      </c>
      <c r="D3" s="543" t="s">
        <v>25</v>
      </c>
    </row>
    <row r="4" spans="2:4">
      <c r="B4" s="648" t="s">
        <v>1064</v>
      </c>
      <c r="C4" s="543" t="s">
        <v>711</v>
      </c>
      <c r="D4" s="543" t="s">
        <v>25</v>
      </c>
    </row>
    <row r="5" spans="2:4">
      <c r="B5" s="648" t="s">
        <v>1065</v>
      </c>
      <c r="C5" s="543" t="s">
        <v>698</v>
      </c>
      <c r="D5" s="543" t="s">
        <v>155</v>
      </c>
    </row>
    <row r="6" spans="2:4">
      <c r="B6" s="648" t="s">
        <v>1066</v>
      </c>
      <c r="C6" s="543" t="s">
        <v>711</v>
      </c>
      <c r="D6" s="543" t="s">
        <v>25</v>
      </c>
    </row>
    <row r="7" spans="2:4">
      <c r="B7" s="648" t="s">
        <v>704</v>
      </c>
      <c r="C7" s="543" t="s">
        <v>706</v>
      </c>
      <c r="D7" s="543" t="s">
        <v>158</v>
      </c>
    </row>
    <row r="8" spans="2:4">
      <c r="B8" s="648" t="s">
        <v>1067</v>
      </c>
      <c r="C8" s="543" t="s">
        <v>701</v>
      </c>
      <c r="D8" s="543" t="s">
        <v>155</v>
      </c>
    </row>
    <row r="9" spans="2:4">
      <c r="B9" s="648" t="s">
        <v>1068</v>
      </c>
      <c r="C9" s="543" t="s">
        <v>706</v>
      </c>
      <c r="D9" s="543" t="s">
        <v>158</v>
      </c>
    </row>
    <row r="10" spans="2:4">
      <c r="B10" s="648" t="s">
        <v>1069</v>
      </c>
      <c r="C10" s="543" t="s">
        <v>713</v>
      </c>
      <c r="D10" s="543" t="s">
        <v>25</v>
      </c>
    </row>
    <row r="11" spans="2:4">
      <c r="B11" s="648" t="s">
        <v>1070</v>
      </c>
      <c r="C11" s="543" t="s">
        <v>698</v>
      </c>
      <c r="D11" s="543" t="s">
        <v>155</v>
      </c>
    </row>
    <row r="12" spans="2:4">
      <c r="B12" s="648" t="s">
        <v>1071</v>
      </c>
      <c r="C12" s="543" t="s">
        <v>713</v>
      </c>
      <c r="D12" s="543" t="s">
        <v>25</v>
      </c>
    </row>
    <row r="13" spans="2:4">
      <c r="B13" s="648" t="s">
        <v>1072</v>
      </c>
      <c r="C13" s="543" t="s">
        <v>521</v>
      </c>
      <c r="D13" s="543" t="s">
        <v>25</v>
      </c>
    </row>
    <row r="14" spans="2:4">
      <c r="B14" s="648" t="s">
        <v>1073</v>
      </c>
      <c r="C14" s="543" t="s">
        <v>521</v>
      </c>
      <c r="D14" s="543" t="s">
        <v>25</v>
      </c>
    </row>
    <row r="15" spans="2:4">
      <c r="B15" s="648" t="s">
        <v>1074</v>
      </c>
      <c r="C15" s="543" t="s">
        <v>521</v>
      </c>
      <c r="D15" s="543" t="s">
        <v>25</v>
      </c>
    </row>
    <row r="16" spans="2:4">
      <c r="B16" s="648" t="s">
        <v>1075</v>
      </c>
      <c r="C16" s="543" t="s">
        <v>729</v>
      </c>
      <c r="D16" s="543" t="s">
        <v>155</v>
      </c>
    </row>
    <row r="17" spans="2:4">
      <c r="B17" s="648" t="s">
        <v>1076</v>
      </c>
      <c r="C17" s="543" t="s">
        <v>729</v>
      </c>
      <c r="D17" s="543" t="s">
        <v>155</v>
      </c>
    </row>
    <row r="18" spans="2:4">
      <c r="B18" s="648" t="s">
        <v>1077</v>
      </c>
      <c r="C18" s="543" t="s">
        <v>706</v>
      </c>
      <c r="D18" s="543" t="s">
        <v>25</v>
      </c>
    </row>
    <row r="19" spans="2:4">
      <c r="B19" s="648" t="s">
        <v>1078</v>
      </c>
      <c r="C19" s="543" t="s">
        <v>729</v>
      </c>
      <c r="D19" s="543" t="s">
        <v>155</v>
      </c>
    </row>
    <row r="20" spans="2:4">
      <c r="B20" s="648" t="s">
        <v>1079</v>
      </c>
      <c r="C20" s="543" t="s">
        <v>691</v>
      </c>
      <c r="D20" s="543" t="s">
        <v>155</v>
      </c>
    </row>
    <row r="21" spans="2:4">
      <c r="B21" s="648" t="s">
        <v>1080</v>
      </c>
      <c r="C21" s="543" t="s">
        <v>691</v>
      </c>
      <c r="D21" s="543" t="s">
        <v>155</v>
      </c>
    </row>
    <row r="22" spans="2:4">
      <c r="B22" s="648" t="s">
        <v>1081</v>
      </c>
      <c r="C22" s="543" t="s">
        <v>691</v>
      </c>
      <c r="D22" s="543" t="s">
        <v>155</v>
      </c>
    </row>
    <row r="23" spans="2:4">
      <c r="B23" s="648" t="s">
        <v>1082</v>
      </c>
      <c r="C23" s="543" t="s">
        <v>691</v>
      </c>
      <c r="D23" s="543" t="s">
        <v>155</v>
      </c>
    </row>
    <row r="24" spans="2:4">
      <c r="B24" s="648" t="s">
        <v>454</v>
      </c>
      <c r="C24" s="543" t="s">
        <v>479</v>
      </c>
      <c r="D24" s="543" t="s">
        <v>25</v>
      </c>
    </row>
    <row r="25" spans="2:4">
      <c r="B25" s="648" t="s">
        <v>454</v>
      </c>
      <c r="C25" s="543" t="s">
        <v>490</v>
      </c>
      <c r="D25" s="543" t="s">
        <v>25</v>
      </c>
    </row>
    <row r="26" spans="2:4">
      <c r="B26" s="648" t="s">
        <v>1083</v>
      </c>
      <c r="C26" s="543" t="s">
        <v>466</v>
      </c>
      <c r="D26" s="543" t="s">
        <v>409</v>
      </c>
    </row>
    <row r="27" spans="2:4">
      <c r="B27" s="648" t="s">
        <v>1083</v>
      </c>
      <c r="C27" s="543" t="s">
        <v>496</v>
      </c>
      <c r="D27" s="543" t="s">
        <v>409</v>
      </c>
    </row>
    <row r="28" spans="2:4">
      <c r="B28" s="648" t="s">
        <v>1084</v>
      </c>
      <c r="C28" s="543" t="s">
        <v>490</v>
      </c>
      <c r="D28" s="543" t="s">
        <v>25</v>
      </c>
    </row>
    <row r="29" spans="2:4">
      <c r="B29" s="648" t="s">
        <v>1084</v>
      </c>
      <c r="C29" s="543" t="s">
        <v>479</v>
      </c>
      <c r="D29" s="543" t="s">
        <v>25</v>
      </c>
    </row>
    <row r="30" spans="2:4">
      <c r="B30" s="648" t="s">
        <v>1085</v>
      </c>
      <c r="C30" s="543" t="s">
        <v>475</v>
      </c>
      <c r="D30" s="543" t="s">
        <v>158</v>
      </c>
    </row>
    <row r="31" spans="2:4">
      <c r="B31" s="648" t="s">
        <v>474</v>
      </c>
      <c r="C31" s="543" t="s">
        <v>482</v>
      </c>
      <c r="D31" s="543" t="s">
        <v>25</v>
      </c>
    </row>
    <row r="32" spans="2:4">
      <c r="B32" s="648" t="s">
        <v>1086</v>
      </c>
      <c r="C32" s="543" t="s">
        <v>471</v>
      </c>
      <c r="D32" s="543" t="s">
        <v>409</v>
      </c>
    </row>
    <row r="33" spans="2:4">
      <c r="B33" s="649" t="s">
        <v>1087</v>
      </c>
      <c r="C33" s="570" t="s">
        <v>482</v>
      </c>
      <c r="D33" s="570" t="s">
        <v>25</v>
      </c>
    </row>
    <row r="34" spans="2:4">
      <c r="B34" s="648" t="s">
        <v>1088</v>
      </c>
      <c r="C34" s="543" t="s">
        <v>475</v>
      </c>
      <c r="D34" s="543" t="s">
        <v>158</v>
      </c>
    </row>
    <row r="35" spans="2:4">
      <c r="B35" s="648" t="s">
        <v>465</v>
      </c>
      <c r="C35" s="543" t="s">
        <v>493</v>
      </c>
      <c r="D35" s="543" t="s">
        <v>155</v>
      </c>
    </row>
    <row r="36" spans="2:4">
      <c r="B36" s="648" t="s">
        <v>465</v>
      </c>
      <c r="C36" s="543" t="s">
        <v>462</v>
      </c>
      <c r="D36" s="543" t="s">
        <v>155</v>
      </c>
    </row>
    <row r="37" spans="2:4">
      <c r="B37" s="648" t="s">
        <v>1089</v>
      </c>
      <c r="C37" s="543" t="s">
        <v>462</v>
      </c>
      <c r="D37" s="543" t="s">
        <v>155</v>
      </c>
    </row>
    <row r="38" spans="2:4">
      <c r="B38" s="648" t="s">
        <v>1089</v>
      </c>
      <c r="C38" s="543" t="s">
        <v>493</v>
      </c>
      <c r="D38" s="543" t="s">
        <v>155</v>
      </c>
    </row>
    <row r="39" spans="2:4" ht="26.45">
      <c r="B39" s="648" t="s">
        <v>1090</v>
      </c>
      <c r="C39" s="543" t="s">
        <v>493</v>
      </c>
      <c r="D39" s="543" t="s">
        <v>155</v>
      </c>
    </row>
    <row r="40" spans="2:4" ht="26.45">
      <c r="B40" s="648" t="s">
        <v>1090</v>
      </c>
      <c r="C40" s="543" t="s">
        <v>462</v>
      </c>
      <c r="D40" s="543" t="s">
        <v>155</v>
      </c>
    </row>
    <row r="41" spans="2:4">
      <c r="B41" s="648" t="s">
        <v>1091</v>
      </c>
      <c r="C41" s="543" t="s">
        <v>475</v>
      </c>
      <c r="D41" s="543" t="s">
        <v>158</v>
      </c>
    </row>
    <row r="42" spans="2:4">
      <c r="B42" s="648" t="s">
        <v>1092</v>
      </c>
      <c r="C42" s="543" t="s">
        <v>475</v>
      </c>
      <c r="D42" s="543" t="s">
        <v>158</v>
      </c>
    </row>
    <row r="43" spans="2:4">
      <c r="B43" s="648" t="s">
        <v>1093</v>
      </c>
      <c r="C43" s="543" t="s">
        <v>682</v>
      </c>
      <c r="D43" s="543" t="s">
        <v>409</v>
      </c>
    </row>
    <row r="44" spans="2:4">
      <c r="B44" s="648" t="s">
        <v>1093</v>
      </c>
      <c r="C44" s="543" t="s">
        <v>482</v>
      </c>
      <c r="D44" s="543" t="s">
        <v>25</v>
      </c>
    </row>
    <row r="45" spans="2:4">
      <c r="B45" s="648" t="s">
        <v>1093</v>
      </c>
      <c r="C45" s="543" t="s">
        <v>475</v>
      </c>
      <c r="D45" s="543" t="s">
        <v>158</v>
      </c>
    </row>
    <row r="46" spans="2:4">
      <c r="B46" s="648" t="s">
        <v>1094</v>
      </c>
      <c r="C46" s="543" t="s">
        <v>475</v>
      </c>
      <c r="D46" s="543" t="s">
        <v>158</v>
      </c>
    </row>
    <row r="47" spans="2:4">
      <c r="B47" s="648" t="s">
        <v>1095</v>
      </c>
      <c r="C47" s="543" t="s">
        <v>586</v>
      </c>
      <c r="D47" s="543" t="s">
        <v>155</v>
      </c>
    </row>
    <row r="48" spans="2:4">
      <c r="B48" s="648" t="s">
        <v>1096</v>
      </c>
      <c r="C48" s="543" t="s">
        <v>582</v>
      </c>
      <c r="D48" s="543" t="s">
        <v>155</v>
      </c>
    </row>
    <row r="49" spans="2:4">
      <c r="B49" s="648" t="s">
        <v>1097</v>
      </c>
      <c r="C49" s="543" t="s">
        <v>582</v>
      </c>
      <c r="D49" s="543" t="s">
        <v>155</v>
      </c>
    </row>
    <row r="50" spans="2:4">
      <c r="B50" s="648" t="s">
        <v>1098</v>
      </c>
      <c r="C50" s="543" t="s">
        <v>582</v>
      </c>
      <c r="D50" s="543" t="s">
        <v>155</v>
      </c>
    </row>
    <row r="51" spans="2:4">
      <c r="B51" s="648" t="s">
        <v>1099</v>
      </c>
      <c r="C51" s="543" t="s">
        <v>582</v>
      </c>
      <c r="D51" s="543" t="s">
        <v>155</v>
      </c>
    </row>
    <row r="52" spans="2:4">
      <c r="B52" s="648" t="s">
        <v>1100</v>
      </c>
      <c r="C52" s="543" t="s">
        <v>582</v>
      </c>
      <c r="D52" s="543" t="s">
        <v>155</v>
      </c>
    </row>
    <row r="53" spans="2:4">
      <c r="B53" s="648" t="s">
        <v>1101</v>
      </c>
      <c r="C53" s="543" t="s">
        <v>582</v>
      </c>
      <c r="D53" s="543" t="s">
        <v>155</v>
      </c>
    </row>
    <row r="54" spans="2:4">
      <c r="B54" s="648" t="s">
        <v>1102</v>
      </c>
      <c r="C54" s="543" t="s">
        <v>600</v>
      </c>
      <c r="D54" s="543" t="s">
        <v>155</v>
      </c>
    </row>
    <row r="55" spans="2:4">
      <c r="B55" s="648" t="s">
        <v>1103</v>
      </c>
      <c r="C55" s="543" t="s">
        <v>600</v>
      </c>
      <c r="D55" s="543" t="s">
        <v>155</v>
      </c>
    </row>
    <row r="56" spans="2:4">
      <c r="B56" s="648" t="s">
        <v>1104</v>
      </c>
      <c r="C56" s="543" t="s">
        <v>600</v>
      </c>
      <c r="D56" s="543" t="s">
        <v>155</v>
      </c>
    </row>
    <row r="57" spans="2:4">
      <c r="B57" s="648" t="s">
        <v>1105</v>
      </c>
      <c r="C57" s="543" t="s">
        <v>600</v>
      </c>
      <c r="D57" s="543" t="s">
        <v>155</v>
      </c>
    </row>
    <row r="58" spans="2:4">
      <c r="B58" s="648" t="s">
        <v>1105</v>
      </c>
      <c r="C58" s="543" t="s">
        <v>1106</v>
      </c>
      <c r="D58" s="543" t="s">
        <v>155</v>
      </c>
    </row>
    <row r="59" spans="2:4">
      <c r="B59" s="648" t="s">
        <v>1107</v>
      </c>
      <c r="C59" s="543" t="s">
        <v>600</v>
      </c>
      <c r="D59" s="543" t="s">
        <v>155</v>
      </c>
    </row>
    <row r="60" spans="2:4">
      <c r="B60" s="648" t="s">
        <v>1107</v>
      </c>
      <c r="C60" s="543" t="s">
        <v>471</v>
      </c>
      <c r="D60" s="543" t="s">
        <v>409</v>
      </c>
    </row>
    <row r="61" spans="2:4">
      <c r="B61" s="648" t="s">
        <v>1107</v>
      </c>
      <c r="C61" s="543" t="s">
        <v>466</v>
      </c>
      <c r="D61" s="543" t="s">
        <v>409</v>
      </c>
    </row>
    <row r="62" spans="2:4">
      <c r="B62" s="648" t="s">
        <v>1107</v>
      </c>
      <c r="C62" s="543" t="s">
        <v>479</v>
      </c>
      <c r="D62" s="543" t="s">
        <v>25</v>
      </c>
    </row>
    <row r="63" spans="2:4">
      <c r="B63" s="648" t="s">
        <v>1108</v>
      </c>
      <c r="C63" s="543" t="s">
        <v>600</v>
      </c>
      <c r="D63" s="543" t="s">
        <v>155</v>
      </c>
    </row>
    <row r="64" spans="2:4">
      <c r="B64" s="648" t="s">
        <v>1108</v>
      </c>
      <c r="C64" s="573" t="s">
        <v>515</v>
      </c>
      <c r="D64" s="543" t="s">
        <v>155</v>
      </c>
    </row>
    <row r="65" spans="2:4">
      <c r="B65" s="648" t="s">
        <v>1109</v>
      </c>
      <c r="C65" s="543" t="s">
        <v>1110</v>
      </c>
      <c r="D65" s="543" t="s">
        <v>409</v>
      </c>
    </row>
    <row r="66" spans="2:4">
      <c r="B66" s="648" t="s">
        <v>1109</v>
      </c>
      <c r="C66" s="543" t="s">
        <v>1111</v>
      </c>
      <c r="D66" s="543" t="s">
        <v>25</v>
      </c>
    </row>
    <row r="67" spans="2:4">
      <c r="B67" s="648" t="s">
        <v>1109</v>
      </c>
      <c r="C67" s="543" t="s">
        <v>551</v>
      </c>
      <c r="D67" s="543" t="s">
        <v>155</v>
      </c>
    </row>
    <row r="68" spans="2:4">
      <c r="B68" s="648" t="s">
        <v>1109</v>
      </c>
      <c r="C68" s="543" t="s">
        <v>554</v>
      </c>
      <c r="D68" s="543" t="s">
        <v>155</v>
      </c>
    </row>
    <row r="69" spans="2:4">
      <c r="B69" s="648" t="s">
        <v>1109</v>
      </c>
      <c r="C69" s="543" t="s">
        <v>557</v>
      </c>
      <c r="D69" s="543" t="s">
        <v>155</v>
      </c>
    </row>
    <row r="70" spans="2:4">
      <c r="B70" s="648" t="s">
        <v>1109</v>
      </c>
      <c r="C70" s="543" t="s">
        <v>560</v>
      </c>
      <c r="D70" s="543" t="s">
        <v>155</v>
      </c>
    </row>
    <row r="71" spans="2:4">
      <c r="B71" s="648" t="s">
        <v>1109</v>
      </c>
      <c r="C71" s="543" t="s">
        <v>563</v>
      </c>
      <c r="D71" s="543" t="s">
        <v>155</v>
      </c>
    </row>
    <row r="72" spans="2:4">
      <c r="B72" s="648" t="s">
        <v>1109</v>
      </c>
      <c r="C72" s="543" t="s">
        <v>1112</v>
      </c>
      <c r="D72" s="543" t="s">
        <v>155</v>
      </c>
    </row>
    <row r="73" spans="2:4">
      <c r="B73" s="648" t="s">
        <v>1109</v>
      </c>
      <c r="C73" s="543" t="s">
        <v>1113</v>
      </c>
      <c r="D73" s="543" t="s">
        <v>25</v>
      </c>
    </row>
    <row r="74" spans="2:4">
      <c r="B74" s="648" t="s">
        <v>1109</v>
      </c>
      <c r="C74" s="543" t="s">
        <v>1114</v>
      </c>
      <c r="D74" s="543" t="s">
        <v>25</v>
      </c>
    </row>
    <row r="75" spans="2:4">
      <c r="B75" s="648" t="s">
        <v>1109</v>
      </c>
      <c r="C75" s="543" t="s">
        <v>574</v>
      </c>
      <c r="D75" s="543" t="s">
        <v>155</v>
      </c>
    </row>
    <row r="76" spans="2:4">
      <c r="B76" s="648" t="s">
        <v>1115</v>
      </c>
      <c r="C76" s="543" t="s">
        <v>515</v>
      </c>
      <c r="D76" s="543" t="s">
        <v>155</v>
      </c>
    </row>
    <row r="77" spans="2:4">
      <c r="B77" s="648" t="s">
        <v>1115</v>
      </c>
      <c r="C77" s="543" t="s">
        <v>540</v>
      </c>
      <c r="D77" s="543" t="s">
        <v>155</v>
      </c>
    </row>
    <row r="78" spans="2:4">
      <c r="B78" s="648" t="s">
        <v>1116</v>
      </c>
      <c r="C78" s="543" t="s">
        <v>515</v>
      </c>
      <c r="D78" s="543" t="s">
        <v>155</v>
      </c>
    </row>
    <row r="79" spans="2:4">
      <c r="B79" s="648" t="s">
        <v>1116</v>
      </c>
      <c r="C79" s="543" t="s">
        <v>540</v>
      </c>
      <c r="D79" s="543" t="s">
        <v>155</v>
      </c>
    </row>
    <row r="80" spans="2:4">
      <c r="B80" s="648" t="s">
        <v>1117</v>
      </c>
      <c r="C80" s="543" t="s">
        <v>515</v>
      </c>
      <c r="D80" s="543" t="s">
        <v>155</v>
      </c>
    </row>
    <row r="81" spans="2:4">
      <c r="B81" s="648" t="s">
        <v>1117</v>
      </c>
      <c r="C81" s="543" t="s">
        <v>540</v>
      </c>
      <c r="D81" s="543" t="s">
        <v>155</v>
      </c>
    </row>
    <row r="82" spans="2:4">
      <c r="B82" s="648" t="s">
        <v>1118</v>
      </c>
      <c r="C82" s="543" t="s">
        <v>515</v>
      </c>
      <c r="D82" s="543" t="s">
        <v>155</v>
      </c>
    </row>
    <row r="83" spans="2:4">
      <c r="B83" s="648" t="s">
        <v>1118</v>
      </c>
      <c r="C83" s="543" t="s">
        <v>540</v>
      </c>
      <c r="D83" s="543" t="s">
        <v>155</v>
      </c>
    </row>
    <row r="84" spans="2:4">
      <c r="B84" s="648" t="s">
        <v>1119</v>
      </c>
      <c r="C84" s="543" t="s">
        <v>515</v>
      </c>
      <c r="D84" s="543" t="s">
        <v>155</v>
      </c>
    </row>
    <row r="85" spans="2:4">
      <c r="B85" s="648" t="s">
        <v>1119</v>
      </c>
      <c r="C85" s="543" t="s">
        <v>540</v>
      </c>
      <c r="D85" s="543" t="s">
        <v>155</v>
      </c>
    </row>
    <row r="86" spans="2:4">
      <c r="B86" s="648" t="s">
        <v>1120</v>
      </c>
      <c r="C86" s="543" t="s">
        <v>525</v>
      </c>
      <c r="D86" s="543" t="s">
        <v>409</v>
      </c>
    </row>
    <row r="87" spans="2:4">
      <c r="B87" s="648" t="s">
        <v>1121</v>
      </c>
      <c r="C87" s="543" t="s">
        <v>515</v>
      </c>
      <c r="D87" s="543" t="s">
        <v>155</v>
      </c>
    </row>
    <row r="88" spans="2:4">
      <c r="B88" s="648" t="s">
        <v>1122</v>
      </c>
      <c r="C88" s="543" t="s">
        <v>515</v>
      </c>
      <c r="D88" s="543" t="s">
        <v>155</v>
      </c>
    </row>
    <row r="89" spans="2:4">
      <c r="B89" s="648" t="s">
        <v>1121</v>
      </c>
      <c r="C89" s="543" t="s">
        <v>540</v>
      </c>
      <c r="D89" s="543" t="s">
        <v>155</v>
      </c>
    </row>
    <row r="90" spans="2:4">
      <c r="B90" s="648" t="s">
        <v>1122</v>
      </c>
      <c r="C90" s="543" t="s">
        <v>540</v>
      </c>
      <c r="D90" s="543" t="s">
        <v>155</v>
      </c>
    </row>
    <row r="91" spans="2:4">
      <c r="B91" s="648" t="s">
        <v>239</v>
      </c>
      <c r="C91" s="543" t="s">
        <v>452</v>
      </c>
      <c r="D91" s="543" t="s">
        <v>158</v>
      </c>
    </row>
    <row r="92" spans="2:4">
      <c r="B92" s="648" t="s">
        <v>1123</v>
      </c>
      <c r="C92" s="543" t="s">
        <v>452</v>
      </c>
      <c r="D92" s="543" t="s">
        <v>158</v>
      </c>
    </row>
    <row r="93" spans="2:4">
      <c r="B93" s="648" t="s">
        <v>1124</v>
      </c>
      <c r="C93" s="543" t="s">
        <v>452</v>
      </c>
      <c r="D93" s="543" t="s">
        <v>158</v>
      </c>
    </row>
    <row r="94" spans="2:4">
      <c r="B94" s="648" t="s">
        <v>1125</v>
      </c>
      <c r="C94" s="573" t="s">
        <v>592</v>
      </c>
      <c r="D94" s="543" t="s">
        <v>155</v>
      </c>
    </row>
    <row r="95" spans="2:4">
      <c r="B95" s="648" t="s">
        <v>1126</v>
      </c>
      <c r="C95" s="543" t="s">
        <v>452</v>
      </c>
      <c r="D95" s="543" t="s">
        <v>25</v>
      </c>
    </row>
    <row r="96" spans="2:4">
      <c r="B96" s="648" t="s">
        <v>1127</v>
      </c>
      <c r="C96" s="573" t="s">
        <v>588</v>
      </c>
      <c r="D96" s="543" t="s">
        <v>158</v>
      </c>
    </row>
    <row r="97" spans="2:4">
      <c r="B97" s="648" t="s">
        <v>1128</v>
      </c>
      <c r="C97" s="573" t="s">
        <v>588</v>
      </c>
      <c r="D97" s="543" t="s">
        <v>158</v>
      </c>
    </row>
    <row r="98" spans="2:4">
      <c r="B98" s="648" t="s">
        <v>663</v>
      </c>
      <c r="C98" s="543" t="s">
        <v>675</v>
      </c>
      <c r="D98" s="543" t="s">
        <v>409</v>
      </c>
    </row>
    <row r="99" spans="2:4">
      <c r="B99" s="648" t="s">
        <v>1129</v>
      </c>
      <c r="C99" s="543" t="s">
        <v>675</v>
      </c>
      <c r="D99" s="543" t="s">
        <v>409</v>
      </c>
    </row>
    <row r="100" spans="2:4">
      <c r="B100" s="648" t="s">
        <v>660</v>
      </c>
      <c r="C100" s="543" t="s">
        <v>661</v>
      </c>
      <c r="D100" s="543" t="s">
        <v>409</v>
      </c>
    </row>
    <row r="101" spans="2:4">
      <c r="B101" s="648" t="s">
        <v>1130</v>
      </c>
      <c r="C101" s="543" t="s">
        <v>675</v>
      </c>
      <c r="D101" s="543" t="s">
        <v>409</v>
      </c>
    </row>
    <row r="102" spans="2:4">
      <c r="B102" s="648" t="s">
        <v>1131</v>
      </c>
      <c r="C102" s="650" t="s">
        <v>688</v>
      </c>
      <c r="D102" s="543" t="s">
        <v>409</v>
      </c>
    </row>
    <row r="103" spans="2:4">
      <c r="B103" s="648" t="s">
        <v>1132</v>
      </c>
      <c r="C103" s="543" t="s">
        <v>661</v>
      </c>
      <c r="D103" s="543" t="s">
        <v>409</v>
      </c>
    </row>
    <row r="104" spans="2:4">
      <c r="B104" s="648" t="s">
        <v>1132</v>
      </c>
      <c r="C104" s="543" t="s">
        <v>675</v>
      </c>
      <c r="D104" s="543" t="s">
        <v>409</v>
      </c>
    </row>
    <row r="105" spans="2:4">
      <c r="B105" s="648" t="s">
        <v>1133</v>
      </c>
      <c r="C105" s="543" t="s">
        <v>669</v>
      </c>
      <c r="D105" s="543" t="s">
        <v>409</v>
      </c>
    </row>
    <row r="106" spans="2:4">
      <c r="B106" s="648" t="s">
        <v>1134</v>
      </c>
      <c r="C106" s="543" t="s">
        <v>669</v>
      </c>
      <c r="D106" s="543" t="s">
        <v>409</v>
      </c>
    </row>
    <row r="107" spans="2:4">
      <c r="B107" s="648" t="s">
        <v>1135</v>
      </c>
      <c r="C107" s="543" t="s">
        <v>669</v>
      </c>
      <c r="D107" s="543" t="s">
        <v>409</v>
      </c>
    </row>
    <row r="108" spans="2:4">
      <c r="B108" s="648" t="s">
        <v>1136</v>
      </c>
      <c r="C108" s="543" t="s">
        <v>669</v>
      </c>
      <c r="D108" s="543" t="s">
        <v>409</v>
      </c>
    </row>
    <row r="109" spans="2:4">
      <c r="B109" s="648" t="s">
        <v>1137</v>
      </c>
      <c r="C109" s="543" t="s">
        <v>669</v>
      </c>
      <c r="D109" s="543" t="s">
        <v>409</v>
      </c>
    </row>
    <row r="110" spans="2:4">
      <c r="B110" s="648" t="s">
        <v>1138</v>
      </c>
      <c r="C110" s="543" t="s">
        <v>1139</v>
      </c>
      <c r="D110" s="543" t="s">
        <v>409</v>
      </c>
    </row>
    <row r="111" spans="2:4">
      <c r="B111" s="648" t="s">
        <v>1140</v>
      </c>
      <c r="C111" s="543" t="s">
        <v>1139</v>
      </c>
      <c r="D111" s="543" t="s">
        <v>409</v>
      </c>
    </row>
    <row r="112" spans="2:4">
      <c r="B112" s="648" t="s">
        <v>1141</v>
      </c>
      <c r="C112" s="543" t="s">
        <v>1139</v>
      </c>
      <c r="D112" s="543" t="s">
        <v>409</v>
      </c>
    </row>
    <row r="113" spans="2:4">
      <c r="B113" s="648" t="s">
        <v>1142</v>
      </c>
      <c r="C113" s="543" t="s">
        <v>665</v>
      </c>
      <c r="D113" s="543" t="s">
        <v>409</v>
      </c>
    </row>
    <row r="114" spans="2:4">
      <c r="B114" s="648" t="s">
        <v>1143</v>
      </c>
      <c r="C114" s="543" t="s">
        <v>669</v>
      </c>
      <c r="D114" s="543" t="s">
        <v>409</v>
      </c>
    </row>
    <row r="115" spans="2:4">
      <c r="B115" s="648" t="s">
        <v>1144</v>
      </c>
      <c r="C115" s="543" t="s">
        <v>669</v>
      </c>
      <c r="D115" s="543" t="s">
        <v>409</v>
      </c>
    </row>
    <row r="116" spans="2:4">
      <c r="B116" s="648" t="s">
        <v>1144</v>
      </c>
      <c r="C116" s="573" t="s">
        <v>685</v>
      </c>
      <c r="D116" s="570" t="s">
        <v>155</v>
      </c>
    </row>
    <row r="117" spans="2:4">
      <c r="B117" s="648" t="s">
        <v>1145</v>
      </c>
      <c r="C117" s="543" t="s">
        <v>1146</v>
      </c>
      <c r="D117" s="585"/>
    </row>
    <row r="118" spans="2:4">
      <c r="B118" s="648" t="s">
        <v>1147</v>
      </c>
      <c r="C118" s="573" t="s">
        <v>685</v>
      </c>
      <c r="D118" s="570" t="s">
        <v>155</v>
      </c>
    </row>
    <row r="119" spans="2:4">
      <c r="B119" s="648" t="s">
        <v>1148</v>
      </c>
      <c r="C119" s="543" t="s">
        <v>592</v>
      </c>
      <c r="D119" s="543" t="s">
        <v>155</v>
      </c>
    </row>
    <row r="120" spans="2:4">
      <c r="B120" s="648" t="s">
        <v>1149</v>
      </c>
      <c r="C120" s="573" t="s">
        <v>605</v>
      </c>
      <c r="D120" s="543" t="s">
        <v>25</v>
      </c>
    </row>
    <row r="121" spans="2:4">
      <c r="B121" s="648" t="s">
        <v>1150</v>
      </c>
      <c r="C121" s="543" t="s">
        <v>592</v>
      </c>
      <c r="D121" s="543" t="s">
        <v>155</v>
      </c>
    </row>
    <row r="122" spans="2:4">
      <c r="B122" s="648" t="s">
        <v>1151</v>
      </c>
      <c r="C122" s="573" t="s">
        <v>605</v>
      </c>
      <c r="D122" s="543" t="s">
        <v>25</v>
      </c>
    </row>
    <row r="123" spans="2:4">
      <c r="B123" s="648" t="s">
        <v>1152</v>
      </c>
      <c r="C123" s="543" t="s">
        <v>592</v>
      </c>
      <c r="D123" s="543" t="s">
        <v>155</v>
      </c>
    </row>
    <row r="124" spans="2:4">
      <c r="B124" s="648" t="s">
        <v>1153</v>
      </c>
      <c r="C124" s="543" t="s">
        <v>592</v>
      </c>
      <c r="D124" s="543" t="s">
        <v>155</v>
      </c>
    </row>
    <row r="125" spans="2:4">
      <c r="B125" s="648" t="s">
        <v>1154</v>
      </c>
      <c r="C125" s="543" t="s">
        <v>592</v>
      </c>
      <c r="D125" s="543" t="s">
        <v>155</v>
      </c>
    </row>
    <row r="126" spans="2:4">
      <c r="B126" s="648" t="s">
        <v>1155</v>
      </c>
      <c r="C126" s="543" t="s">
        <v>592</v>
      </c>
      <c r="D126" s="543" t="s">
        <v>155</v>
      </c>
    </row>
    <row r="127" spans="2:4">
      <c r="B127" s="648" t="s">
        <v>1156</v>
      </c>
      <c r="C127" s="543" t="s">
        <v>592</v>
      </c>
      <c r="D127" s="543" t="s">
        <v>155</v>
      </c>
    </row>
    <row r="128" spans="2:4">
      <c r="B128" s="648" t="s">
        <v>596</v>
      </c>
      <c r="C128" s="543" t="s">
        <v>597</v>
      </c>
      <c r="D128" s="543" t="s">
        <v>409</v>
      </c>
    </row>
    <row r="129" spans="2:4">
      <c r="B129" s="648" t="s">
        <v>1157</v>
      </c>
      <c r="C129" s="543" t="s">
        <v>605</v>
      </c>
      <c r="D129" s="543" t="s">
        <v>25</v>
      </c>
    </row>
    <row r="130" spans="2:4">
      <c r="B130" s="648" t="s">
        <v>1158</v>
      </c>
      <c r="C130" s="543" t="s">
        <v>605</v>
      </c>
      <c r="D130" s="543" t="s">
        <v>25</v>
      </c>
    </row>
    <row r="131" spans="2:4">
      <c r="B131" s="648" t="s">
        <v>1159</v>
      </c>
      <c r="C131" s="543" t="s">
        <v>605</v>
      </c>
      <c r="D131" s="543" t="s">
        <v>25</v>
      </c>
    </row>
    <row r="132" spans="2:4">
      <c r="B132" s="648" t="s">
        <v>1160</v>
      </c>
      <c r="C132" s="543" t="s">
        <v>605</v>
      </c>
      <c r="D132" s="543" t="s">
        <v>25</v>
      </c>
    </row>
    <row r="133" spans="2:4">
      <c r="B133" s="648" t="s">
        <v>1160</v>
      </c>
      <c r="C133" s="543" t="s">
        <v>605</v>
      </c>
      <c r="D133" s="543" t="s">
        <v>25</v>
      </c>
    </row>
    <row r="134" spans="2:4">
      <c r="B134" s="648" t="s">
        <v>1160</v>
      </c>
      <c r="C134" s="543" t="s">
        <v>605</v>
      </c>
      <c r="D134" s="543" t="s">
        <v>25</v>
      </c>
    </row>
    <row r="135" spans="2:4">
      <c r="B135" s="648" t="s">
        <v>1160</v>
      </c>
      <c r="C135" s="543" t="s">
        <v>605</v>
      </c>
      <c r="D135" s="543" t="s">
        <v>25</v>
      </c>
    </row>
    <row r="136" spans="2:4">
      <c r="B136" s="648" t="s">
        <v>1160</v>
      </c>
      <c r="C136" s="543" t="s">
        <v>605</v>
      </c>
      <c r="D136" s="543" t="s">
        <v>25</v>
      </c>
    </row>
    <row r="137" spans="2:4">
      <c r="B137" s="648" t="s">
        <v>1160</v>
      </c>
      <c r="C137" s="543" t="s">
        <v>605</v>
      </c>
      <c r="D137" s="543" t="s">
        <v>25</v>
      </c>
    </row>
    <row r="138" spans="2:4">
      <c r="B138" s="648" t="s">
        <v>1161</v>
      </c>
      <c r="C138" s="543" t="s">
        <v>1162</v>
      </c>
      <c r="D138" s="543" t="s">
        <v>158</v>
      </c>
    </row>
    <row r="139" spans="2:4">
      <c r="B139" s="648" t="s">
        <v>1163</v>
      </c>
      <c r="C139" s="543" t="s">
        <v>1162</v>
      </c>
      <c r="D139" s="543" t="s">
        <v>158</v>
      </c>
    </row>
    <row r="140" spans="2:4">
      <c r="B140" s="648" t="s">
        <v>1164</v>
      </c>
      <c r="C140" s="543" t="s">
        <v>1162</v>
      </c>
      <c r="D140" s="543" t="s">
        <v>158</v>
      </c>
    </row>
    <row r="141" spans="2:4">
      <c r="B141" s="648" t="s">
        <v>1165</v>
      </c>
      <c r="C141" s="543" t="s">
        <v>610</v>
      </c>
      <c r="D141" s="543" t="s">
        <v>429</v>
      </c>
    </row>
    <row r="142" spans="2:4">
      <c r="B142" s="648" t="s">
        <v>1166</v>
      </c>
      <c r="C142" s="543" t="s">
        <v>427</v>
      </c>
      <c r="D142" s="543" t="s">
        <v>158</v>
      </c>
    </row>
    <row r="143" spans="2:4">
      <c r="B143" s="648" t="s">
        <v>1167</v>
      </c>
      <c r="C143" s="543" t="s">
        <v>427</v>
      </c>
      <c r="D143" s="543" t="s">
        <v>158</v>
      </c>
    </row>
    <row r="144" spans="2:4">
      <c r="B144" s="648" t="s">
        <v>1168</v>
      </c>
      <c r="C144" s="543" t="s">
        <v>475</v>
      </c>
      <c r="D144" s="543" t="s">
        <v>158</v>
      </c>
    </row>
    <row r="145" spans="2:4">
      <c r="B145" s="648" t="s">
        <v>1169</v>
      </c>
      <c r="C145" s="573" t="s">
        <v>588</v>
      </c>
      <c r="D145" s="543" t="s">
        <v>158</v>
      </c>
    </row>
    <row r="146" spans="2:4">
      <c r="B146" s="648" t="s">
        <v>637</v>
      </c>
      <c r="C146" s="543" t="s">
        <v>638</v>
      </c>
      <c r="D146" s="543" t="s">
        <v>158</v>
      </c>
    </row>
    <row r="147" spans="2:4">
      <c r="B147" s="648" t="s">
        <v>1170</v>
      </c>
      <c r="C147" s="543" t="s">
        <v>618</v>
      </c>
      <c r="D147" s="543" t="s">
        <v>429</v>
      </c>
    </row>
    <row r="148" spans="2:4">
      <c r="B148" s="648" t="s">
        <v>1171</v>
      </c>
      <c r="C148" s="543" t="s">
        <v>618</v>
      </c>
      <c r="D148" s="543" t="s">
        <v>429</v>
      </c>
    </row>
    <row r="149" spans="2:4">
      <c r="B149" s="648" t="s">
        <v>1172</v>
      </c>
      <c r="C149" s="543" t="s">
        <v>622</v>
      </c>
      <c r="D149" s="543" t="s">
        <v>429</v>
      </c>
    </row>
    <row r="150" spans="2:4">
      <c r="B150" s="648" t="s">
        <v>1173</v>
      </c>
      <c r="C150" s="543" t="s">
        <v>622</v>
      </c>
      <c r="D150" s="543" t="s">
        <v>429</v>
      </c>
    </row>
    <row r="151" spans="2:4">
      <c r="B151" s="648" t="s">
        <v>1174</v>
      </c>
      <c r="C151" s="543" t="s">
        <v>622</v>
      </c>
      <c r="D151" s="543" t="s">
        <v>429</v>
      </c>
    </row>
    <row r="152" spans="2:4">
      <c r="B152" s="648" t="s">
        <v>1175</v>
      </c>
      <c r="C152" s="543" t="s">
        <v>622</v>
      </c>
      <c r="D152" s="543" t="s">
        <v>429</v>
      </c>
    </row>
    <row r="153" spans="2:4">
      <c r="B153" s="648" t="s">
        <v>1176</v>
      </c>
      <c r="C153" s="543" t="s">
        <v>656</v>
      </c>
      <c r="D153" s="543" t="s">
        <v>158</v>
      </c>
    </row>
    <row r="154" spans="2:4"/>
    <row r="155" spans="2:4"/>
    <row r="156" spans="2:4"/>
    <row r="157" spans="2:4"/>
    <row r="158" spans="2:4">
      <c r="B158" s="306"/>
    </row>
    <row r="159" spans="2:4">
      <c r="B159" s="306"/>
    </row>
    <row r="160" spans="2:4">
      <c r="B160" s="306"/>
    </row>
    <row r="161" spans="2:2">
      <c r="B161" s="306"/>
    </row>
    <row r="162" spans="2:2">
      <c r="B162" s="306"/>
    </row>
    <row r="163" spans="2:2">
      <c r="B163" s="306"/>
    </row>
    <row r="164" spans="2:2" hidden="1">
      <c r="B164" s="306"/>
    </row>
    <row r="165" spans="2:2" hidden="1">
      <c r="B165" s="306"/>
    </row>
    <row r="166" spans="2:2" hidden="1">
      <c r="B166" s="306"/>
    </row>
    <row r="167" spans="2:2" hidden="1">
      <c r="B167" s="306"/>
    </row>
    <row r="168" spans="2:2" hidden="1">
      <c r="B168" s="306"/>
    </row>
    <row r="169" spans="2:2" hidden="1">
      <c r="B169" s="306"/>
    </row>
    <row r="170" spans="2:2" hidden="1">
      <c r="B170" s="306"/>
    </row>
    <row r="171" spans="2:2" hidden="1">
      <c r="B171" s="306"/>
    </row>
    <row r="172" spans="2:2" hidden="1">
      <c r="B172" s="306"/>
    </row>
    <row r="173" spans="2:2" hidden="1">
      <c r="B173" s="306"/>
    </row>
    <row r="174" spans="2:2" hidden="1">
      <c r="B174" s="306"/>
    </row>
    <row r="175" spans="2:2" hidden="1">
      <c r="B175" s="306"/>
    </row>
    <row r="176" spans="2:2" hidden="1">
      <c r="B176" s="306"/>
    </row>
    <row r="177" spans="2:2" hidden="1">
      <c r="B177" s="306"/>
    </row>
    <row r="178" spans="2:2" hidden="1">
      <c r="B178" s="306"/>
    </row>
    <row r="179" spans="2:2" hidden="1">
      <c r="B179" s="306"/>
    </row>
    <row r="180" spans="2:2" hidden="1">
      <c r="B180" s="306"/>
    </row>
    <row r="181" spans="2:2" hidden="1">
      <c r="B181" s="306"/>
    </row>
    <row r="182" spans="2:2" hidden="1">
      <c r="B182" s="306"/>
    </row>
    <row r="183" spans="2:2" hidden="1">
      <c r="B183" s="306"/>
    </row>
    <row r="184" spans="2:2" hidden="1">
      <c r="B184" s="306"/>
    </row>
    <row r="185" spans="2:2" hidden="1">
      <c r="B185" s="306"/>
    </row>
    <row r="186" spans="2:2" hidden="1">
      <c r="B186" s="306"/>
    </row>
    <row r="187" spans="2:2" hidden="1">
      <c r="B187" s="306"/>
    </row>
    <row r="188" spans="2:2" hidden="1">
      <c r="B188" s="306"/>
    </row>
    <row r="189" spans="2:2" hidden="1">
      <c r="B189" s="306"/>
    </row>
    <row r="190" spans="2:2" hidden="1">
      <c r="B190" s="306"/>
    </row>
    <row r="191" spans="2:2" hidden="1">
      <c r="B191" s="306"/>
    </row>
    <row r="192" spans="2:2" hidden="1">
      <c r="B192" s="306"/>
    </row>
    <row r="193" spans="2:2" hidden="1">
      <c r="B193" s="306"/>
    </row>
    <row r="194" spans="2:2" hidden="1">
      <c r="B194" s="306"/>
    </row>
    <row r="195" spans="2:2" hidden="1">
      <c r="B195" s="306"/>
    </row>
    <row r="196" spans="2:2" hidden="1">
      <c r="B196" s="306"/>
    </row>
    <row r="197" spans="2:2" hidden="1">
      <c r="B197" s="306"/>
    </row>
    <row r="198" spans="2:2" hidden="1">
      <c r="B198" s="306"/>
    </row>
    <row r="199" spans="2:2" hidden="1">
      <c r="B199" s="306"/>
    </row>
    <row r="200" spans="2:2" hidden="1">
      <c r="B200" s="306"/>
    </row>
    <row r="201" spans="2:2" hidden="1">
      <c r="B201" s="306"/>
    </row>
    <row r="202" spans="2:2" hidden="1">
      <c r="B202" s="306"/>
    </row>
    <row r="203" spans="2:2" hidden="1">
      <c r="B203" s="306"/>
    </row>
    <row r="204" spans="2:2" hidden="1">
      <c r="B204" s="306"/>
    </row>
    <row r="205" spans="2:2" hidden="1">
      <c r="B205" s="306"/>
    </row>
    <row r="206" spans="2:2" hidden="1">
      <c r="B206" s="306"/>
    </row>
    <row r="207" spans="2:2" hidden="1">
      <c r="B207" s="306"/>
    </row>
    <row r="208" spans="2:2" hidden="1">
      <c r="B208" s="306"/>
    </row>
    <row r="209" spans="2:2" hidden="1">
      <c r="B209" s="306"/>
    </row>
    <row r="210" spans="2:2" hidden="1">
      <c r="B210" s="306"/>
    </row>
    <row r="211" spans="2:2" hidden="1">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084"/>
      <c r="E10" s="1084"/>
      <c r="F10" s="1084"/>
      <c r="G10" s="1084"/>
      <c r="H10" s="1084"/>
      <c r="I10" s="1084"/>
      <c r="J10" s="1084"/>
      <c r="K10" s="1084"/>
      <c r="L10" s="1084"/>
      <c r="M10" s="10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row r="28"/>
    <row r="29"/>
    <row r="30"/>
    <row r="31"/>
    <row r="32"/>
    <row r="33"/>
    <row r="34"/>
    <row r="35"/>
    <row r="36"/>
    <row r="37"/>
    <row r="38"/>
    <row r="39"/>
    <row r="40"/>
    <row r="41"/>
    <row r="42"/>
    <row r="43"/>
    <row r="44"/>
    <row r="45"/>
    <row r="46"/>
    <row r="47"/>
    <row r="48"/>
    <row r="49"/>
    <row r="50"/>
    <row r="51"/>
    <row r="52"/>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4.4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c r="A1" s="308" t="s">
        <v>1177</v>
      </c>
      <c r="B1" s="309" t="s">
        <v>1178</v>
      </c>
      <c r="D1" s="278" t="s">
        <v>1179</v>
      </c>
    </row>
    <row r="2" spans="1:4">
      <c r="A2" s="658" t="s">
        <v>1180</v>
      </c>
      <c r="B2" s="659" t="s">
        <v>1181</v>
      </c>
      <c r="D2" s="658" t="str">
        <f>'G-1 All Habitats'!B3</f>
        <v>Cropland - Arable field margins cultivated annually</v>
      </c>
    </row>
    <row r="3" spans="1:4">
      <c r="A3" s="658" t="s">
        <v>1182</v>
      </c>
      <c r="B3" s="659" t="s">
        <v>1183</v>
      </c>
      <c r="D3" s="658" t="str">
        <f>'G-1 All Habitats'!B4</f>
        <v>Cropland - Arable field margins game bird mix</v>
      </c>
    </row>
    <row r="4" spans="1:4">
      <c r="A4" s="658" t="s">
        <v>1184</v>
      </c>
      <c r="B4" s="659" t="s">
        <v>1185</v>
      </c>
      <c r="D4" s="658" t="str">
        <f>'G-1 All Habitats'!B5</f>
        <v>Cropland - Arable field margins pollen &amp; nectar</v>
      </c>
    </row>
    <row r="5" spans="1:4">
      <c r="A5" s="658" t="s">
        <v>1186</v>
      </c>
      <c r="B5" s="659" t="s">
        <v>1187</v>
      </c>
      <c r="D5" s="658" t="str">
        <f>'G-1 All Habitats'!B6</f>
        <v>Cropland - Arable field margins tussocky</v>
      </c>
    </row>
    <row r="6" spans="1:4">
      <c r="A6" s="658" t="s">
        <v>1188</v>
      </c>
      <c r="B6" s="659" t="s">
        <v>1189</v>
      </c>
      <c r="D6" s="658" t="str">
        <f>'G-1 All Habitats'!B7</f>
        <v>Cropland - Cereal crops</v>
      </c>
    </row>
    <row r="7" spans="1:4">
      <c r="A7" s="658" t="s">
        <v>1190</v>
      </c>
      <c r="B7" s="659" t="s">
        <v>1191</v>
      </c>
      <c r="D7" s="658" t="e">
        <f>'G-1 All Habitats'!#REF!</f>
        <v>#REF!</v>
      </c>
    </row>
    <row r="8" spans="1:4">
      <c r="A8" s="658" t="s">
        <v>1192</v>
      </c>
      <c r="B8" s="659" t="s">
        <v>1193</v>
      </c>
      <c r="D8" s="658" t="str">
        <f>'G-1 All Habitats'!B8</f>
        <v>Cropland - Cereal crops winter stubble</v>
      </c>
    </row>
    <row r="9" spans="1:4">
      <c r="A9" s="658" t="s">
        <v>1194</v>
      </c>
      <c r="B9" s="659" t="s">
        <v>1195</v>
      </c>
      <c r="D9" s="658" t="str">
        <f>'G-1 All Habitats'!B9</f>
        <v>Cropland - Horticulture</v>
      </c>
    </row>
    <row r="10" spans="1:4">
      <c r="A10" s="658" t="s">
        <v>1196</v>
      </c>
      <c r="B10" s="659" t="s">
        <v>1197</v>
      </c>
      <c r="D10" s="658" t="str">
        <f>'G-1 All Habitats'!B10</f>
        <v>Cropland - Intensive orchards</v>
      </c>
    </row>
    <row r="11" spans="1:4">
      <c r="A11" s="658" t="s">
        <v>1198</v>
      </c>
      <c r="B11" s="659" t="s">
        <v>1199</v>
      </c>
      <c r="D11" s="658" t="str">
        <f>'G-1 All Habitats'!B11</f>
        <v>Cropland - Non-cereal crops</v>
      </c>
    </row>
    <row r="12" spans="1:4">
      <c r="A12" s="658" t="s">
        <v>1200</v>
      </c>
      <c r="B12" s="659" t="s">
        <v>1201</v>
      </c>
      <c r="D12" s="658" t="str">
        <f>'G-1 All Habitats'!B12</f>
        <v>Cropland - Temporary grass and clover leys</v>
      </c>
    </row>
    <row r="13" spans="1:4">
      <c r="A13" s="658" t="s">
        <v>1202</v>
      </c>
      <c r="B13" s="659" t="s">
        <v>1203</v>
      </c>
      <c r="D13" s="658" t="str">
        <f>'G-1 All Habitats'!B13</f>
        <v>Grassland - Traditional orchards</v>
      </c>
    </row>
    <row r="14" spans="1:4">
      <c r="A14" s="658" t="s">
        <v>1204</v>
      </c>
      <c r="B14" s="659" t="s">
        <v>1205</v>
      </c>
      <c r="D14" s="658" t="str">
        <f>'G-1 All Habitats'!B14</f>
        <v>Grassland - Bracken</v>
      </c>
    </row>
    <row r="15" spans="1:4">
      <c r="A15" s="658" t="s">
        <v>1206</v>
      </c>
      <c r="B15" s="659" t="s">
        <v>1207</v>
      </c>
      <c r="D15" s="658" t="str">
        <f>'G-1 All Habitats'!B15</f>
        <v>Grassland - Floodplain Wetland Mosaic (CFGM)</v>
      </c>
    </row>
    <row r="16" spans="1:4">
      <c r="A16" s="658" t="s">
        <v>1208</v>
      </c>
      <c r="B16" s="659" t="s">
        <v>1209</v>
      </c>
      <c r="D16" s="658" t="str">
        <f>'G-1 All Habitats'!B16</f>
        <v>Grassland - Lowland calcareous grassland</v>
      </c>
    </row>
    <row r="17" spans="1:4">
      <c r="A17" s="658" t="s">
        <v>1210</v>
      </c>
      <c r="D17" s="658" t="str">
        <f>'G-1 All Habitats'!B17</f>
        <v>Grassland - Lowland dry acid grassland</v>
      </c>
    </row>
    <row r="18" spans="1:4">
      <c r="A18" s="658" t="s">
        <v>1211</v>
      </c>
      <c r="D18" s="658" t="str">
        <f>'G-1 All Habitats'!B18</f>
        <v>Grassland - Lowland meadows</v>
      </c>
    </row>
    <row r="19" spans="1:4">
      <c r="A19" s="658" t="s">
        <v>1212</v>
      </c>
      <c r="D19" s="658" t="str">
        <f>'G-1 All Habitats'!B19</f>
        <v>Grassland - Modified grassland</v>
      </c>
    </row>
    <row r="20" spans="1:4">
      <c r="A20" s="658" t="s">
        <v>1213</v>
      </c>
      <c r="D20" s="658" t="str">
        <f>'G-1 All Habitats'!B20</f>
        <v>Grassland - Other lowland acid grassland</v>
      </c>
    </row>
    <row r="21" spans="1:4">
      <c r="A21" s="658" t="s">
        <v>1214</v>
      </c>
      <c r="D21" s="658" t="str">
        <f>'G-1 All Habitats'!B21</f>
        <v>Grassland - Other neutral grassland</v>
      </c>
    </row>
    <row r="22" spans="1:4">
      <c r="A22" s="658" t="s">
        <v>1215</v>
      </c>
      <c r="D22" s="658" t="str">
        <f>'G-1 All Habitats'!B22</f>
        <v>Grassland - Tall herb communities (H6430)</v>
      </c>
    </row>
    <row r="23" spans="1:4">
      <c r="A23" s="658" t="s">
        <v>1216</v>
      </c>
      <c r="D23" s="658" t="str">
        <f>'G-1 All Habitats'!B23</f>
        <v>Grassland - Upland acid grassland</v>
      </c>
    </row>
    <row r="24" spans="1:4">
      <c r="A24" s="658" t="s">
        <v>1217</v>
      </c>
      <c r="D24" s="658" t="str">
        <f>'G-1 All Habitats'!B24</f>
        <v>Grassland - Upland calcareous grassland</v>
      </c>
    </row>
    <row r="25" spans="1:4">
      <c r="A25" s="658" t="s">
        <v>1218</v>
      </c>
      <c r="D25" s="658" t="str">
        <f>'G-1 All Habitats'!B25</f>
        <v>Grassland - Upland hay meadows</v>
      </c>
    </row>
    <row r="26" spans="1:4">
      <c r="A26" s="658" t="s">
        <v>1219</v>
      </c>
      <c r="D26" s="658" t="str">
        <f>'G-1 All Habitats'!B26</f>
        <v>Heathland and shrub - Blackthorn scrub</v>
      </c>
    </row>
    <row r="27" spans="1:4">
      <c r="A27" s="658" t="s">
        <v>1220</v>
      </c>
      <c r="D27" s="658" t="str">
        <f>'G-1 All Habitats'!B27</f>
        <v>Heathland and shrub - Bramble scrub</v>
      </c>
    </row>
    <row r="28" spans="1:4">
      <c r="A28" s="658" t="s">
        <v>1221</v>
      </c>
      <c r="D28" s="658" t="str">
        <f>'G-1 All Habitats'!B28</f>
        <v>Heathland and shrub - Gorse scrub</v>
      </c>
    </row>
    <row r="29" spans="1:4">
      <c r="A29" s="658" t="s">
        <v>1222</v>
      </c>
      <c r="D29" s="658" t="str">
        <f>'G-1 All Habitats'!B29</f>
        <v>Heathland and shrub - Hawthorn scrub</v>
      </c>
    </row>
    <row r="30" spans="1:4">
      <c r="A30" s="658" t="s">
        <v>1223</v>
      </c>
      <c r="D30" s="658" t="str">
        <f>'G-1 All Habitats'!B30</f>
        <v>Heathland and shrub - Hazel scrub</v>
      </c>
    </row>
    <row r="31" spans="1:4">
      <c r="A31" s="658" t="s">
        <v>1224</v>
      </c>
      <c r="D31" s="658" t="str">
        <f>'G-1 All Habitats'!B31</f>
        <v>Heathland and shrub - Lowland Heathland</v>
      </c>
    </row>
    <row r="32" spans="1:4">
      <c r="A32" s="658" t="s">
        <v>1225</v>
      </c>
      <c r="D32" s="658" t="str">
        <f>'G-1 All Habitats'!B32</f>
        <v>Heathland and shrub - Mixed scrub</v>
      </c>
    </row>
    <row r="33" spans="1:4">
      <c r="A33" s="658" t="s">
        <v>1226</v>
      </c>
      <c r="D33" s="658" t="str">
        <f>'G-1 All Habitats'!B33</f>
        <v>Heathland and shrub - Mountain heaths and willow scrub</v>
      </c>
    </row>
    <row r="34" spans="1:4">
      <c r="A34" s="658" t="s">
        <v>1227</v>
      </c>
      <c r="D34" s="658" t="str">
        <f>'G-1 All Habitats'!B34</f>
        <v>Heathland and shrub - Rhododendron scrub</v>
      </c>
    </row>
    <row r="35" spans="1:4">
      <c r="A35" s="658" t="s">
        <v>1228</v>
      </c>
      <c r="D35" s="658" t="str">
        <f>'G-1 All Habitats'!B35</f>
        <v>Heathland and shrub - Sea buckthorn scrub (Annex 1)</v>
      </c>
    </row>
    <row r="36" spans="1:4">
      <c r="A36" s="658" t="s">
        <v>1229</v>
      </c>
      <c r="D36" s="658" t="str">
        <f>'G-1 All Habitats'!B36</f>
        <v>Heathland and shrub - Sea buckthorn scrub (other)</v>
      </c>
    </row>
    <row r="37" spans="1:4">
      <c r="A37" s="658" t="s">
        <v>1230</v>
      </c>
      <c r="D37" s="658" t="str">
        <f>'G-1 All Habitats'!B37</f>
        <v>Heathland and shrub - Upland Heathland</v>
      </c>
    </row>
    <row r="38" spans="1:4">
      <c r="A38" s="658" t="s">
        <v>1231</v>
      </c>
      <c r="D38" s="658" t="str">
        <f>'G-1 All Habitats'!B38</f>
        <v>Lakes - Aquifer fed naturally fluctuating water bodies</v>
      </c>
    </row>
    <row r="39" spans="1:4">
      <c r="A39" s="658" t="s">
        <v>1232</v>
      </c>
      <c r="D39" s="658" t="e">
        <f>'G-1 All Habitats'!#REF!</f>
        <v>#REF!</v>
      </c>
    </row>
    <row r="40" spans="1:4">
      <c r="A40" s="658" t="s">
        <v>1233</v>
      </c>
      <c r="D40" s="658" t="str">
        <f>'G-1 All Habitats'!B40</f>
        <v>Lakes - High alkalinity lakes</v>
      </c>
    </row>
    <row r="41" spans="1:4">
      <c r="A41" s="658" t="s">
        <v>1234</v>
      </c>
      <c r="D41" s="658" t="str">
        <f>'G-1 All Habitats'!B41</f>
        <v>Lakes - Low alkalinity lakes</v>
      </c>
    </row>
    <row r="42" spans="1:4">
      <c r="A42" s="658" t="s">
        <v>1235</v>
      </c>
      <c r="D42" s="658" t="str">
        <f>'G-1 All Habitats'!B42</f>
        <v>Lakes - Marl Lakes</v>
      </c>
    </row>
    <row r="43" spans="1:4">
      <c r="A43" s="658" t="s">
        <v>1236</v>
      </c>
      <c r="D43" s="658" t="str">
        <f>'G-1 All Habitats'!B43</f>
        <v>Lakes - Moderate alkalinity lakes</v>
      </c>
    </row>
    <row r="44" spans="1:4">
      <c r="A44" s="658" t="s">
        <v>1237</v>
      </c>
      <c r="D44" s="658" t="str">
        <f>'G-1 All Habitats'!B44</f>
        <v>Lakes - Peat Lakes</v>
      </c>
    </row>
    <row r="45" spans="1:4">
      <c r="A45" s="658" t="s">
        <v>1238</v>
      </c>
      <c r="D45" s="658" t="str">
        <f>'G-1 All Habitats'!B45</f>
        <v>Lakes - Ponds (Priority Habitat)</v>
      </c>
    </row>
    <row r="46" spans="1:4">
      <c r="A46" s="658" t="s">
        <v>1239</v>
      </c>
      <c r="D46" s="658" t="str">
        <f>'G-1 All Habitats'!B46</f>
        <v>Lakes - Ponds (Non- Priority Habitat)</v>
      </c>
    </row>
    <row r="47" spans="1:4">
      <c r="A47" s="658" t="s">
        <v>1240</v>
      </c>
      <c r="D47" s="658" t="str">
        <f>'G-1 All Habitats'!B47</f>
        <v>Lakes - Reservoirs</v>
      </c>
    </row>
    <row r="48" spans="1:4">
      <c r="A48" s="658" t="s">
        <v>1241</v>
      </c>
      <c r="D48" s="658" t="str">
        <f>'G-1 All Habitats'!B48</f>
        <v>Lakes - Temporary lakes, ponds and pools</v>
      </c>
    </row>
    <row r="49" spans="1:4">
      <c r="A49" s="658" t="s">
        <v>1242</v>
      </c>
      <c r="D49" s="658" t="str">
        <f>'G-1 All Habitats'!B49</f>
        <v>Sparsely vegetated land - Calaminarian grasslands</v>
      </c>
    </row>
    <row r="50" spans="1:4">
      <c r="A50" s="658" t="s">
        <v>1243</v>
      </c>
      <c r="D50" s="658" t="str">
        <f>'G-1 All Habitats'!B50</f>
        <v>Sparsely vegetated land - Coastal sand dunes</v>
      </c>
    </row>
    <row r="51" spans="1:4">
      <c r="A51" s="658" t="s">
        <v>1244</v>
      </c>
      <c r="D51" s="658" t="str">
        <f>'G-1 All Habitats'!B51</f>
        <v>Sparsely vegetated land - Coastal vegetated shingle</v>
      </c>
    </row>
    <row r="52" spans="1:4">
      <c r="A52" s="658" t="s">
        <v>1245</v>
      </c>
      <c r="D52" s="658" t="str">
        <f>'G-1 All Habitats'!B52</f>
        <v>Sparsely vegetated land - Ruderal/Ephemeral</v>
      </c>
    </row>
    <row r="53" spans="1:4">
      <c r="A53" s="658" t="s">
        <v>1246</v>
      </c>
      <c r="D53" s="658" t="str">
        <f>'G-1 All Habitats'!B53</f>
        <v>Sparsely vegetated land - Inland rock outcrop and scree habitats</v>
      </c>
    </row>
    <row r="54" spans="1:4">
      <c r="A54" s="658" t="s">
        <v>1247</v>
      </c>
      <c r="D54" s="658" t="str">
        <f>'G-1 All Habitats'!B54</f>
        <v>Sparsely vegetated land - Limestone pavement</v>
      </c>
    </row>
    <row r="55" spans="1:4">
      <c r="A55" s="658" t="s">
        <v>1248</v>
      </c>
      <c r="D55" s="658" t="str">
        <f>'G-1 All Habitats'!B55</f>
        <v>Sparsely vegetated land - Maritime cliff and slopes</v>
      </c>
    </row>
    <row r="56" spans="1:4">
      <c r="A56" s="658" t="s">
        <v>1249</v>
      </c>
      <c r="D56" s="658" t="str">
        <f>'G-1 All Habitats'!B56</f>
        <v>Sparsely vegetated land - Other inland rock and scree</v>
      </c>
    </row>
    <row r="57" spans="1:4">
      <c r="A57" s="658" t="s">
        <v>1250</v>
      </c>
      <c r="D57" s="658" t="str">
        <f>'G-1 All Habitats'!B57</f>
        <v>Urban - Allotments</v>
      </c>
    </row>
    <row r="58" spans="1:4">
      <c r="A58" s="658" t="s">
        <v>1251</v>
      </c>
      <c r="D58" s="658" t="str">
        <f>'G-1 All Habitats'!B39</f>
        <v>Lakes - Ornamental lake or pond</v>
      </c>
    </row>
    <row r="59" spans="1:4">
      <c r="A59" s="658" t="s">
        <v>1252</v>
      </c>
      <c r="D59" s="658" t="str">
        <f>'G-1 All Habitats'!B58</f>
        <v>Urban - Artificial unvegetated, unsealed surface</v>
      </c>
    </row>
    <row r="60" spans="1:4">
      <c r="A60" s="658" t="s">
        <v>1253</v>
      </c>
      <c r="D60" s="658" t="str">
        <f>'G-1 All Habitats'!B59</f>
        <v>Urban - Bioswale</v>
      </c>
    </row>
    <row r="61" spans="1:4">
      <c r="A61" s="658" t="s">
        <v>1254</v>
      </c>
      <c r="D61" s="658" t="str">
        <f>'G-1 All Habitats'!B60</f>
        <v>Urban - Intensive green roof</v>
      </c>
    </row>
    <row r="62" spans="1:4">
      <c r="A62" s="658" t="s">
        <v>1255</v>
      </c>
      <c r="D62" s="658" t="str">
        <f>'G-1 All Habitats'!B61</f>
        <v>Urban - Built linear features</v>
      </c>
    </row>
    <row r="63" spans="1:4">
      <c r="A63" s="658" t="s">
        <v>1256</v>
      </c>
      <c r="D63" s="658" t="str">
        <f>'G-1 All Habitats'!B62</f>
        <v>Urban - Cemeteries and churchyards</v>
      </c>
    </row>
    <row r="64" spans="1:4">
      <c r="A64" s="658" t="s">
        <v>1257</v>
      </c>
      <c r="D64" s="658" t="str">
        <f>'G-1 All Habitats'!B63</f>
        <v>Urban - Developed land; sealed surface</v>
      </c>
    </row>
    <row r="65" spans="1:4">
      <c r="A65" s="658" t="s">
        <v>1258</v>
      </c>
      <c r="D65" s="658" t="str">
        <f>'G-1 All Habitats'!B64</f>
        <v>Urban - Other green roof</v>
      </c>
    </row>
    <row r="66" spans="1:4">
      <c r="A66" s="658" t="s">
        <v>1259</v>
      </c>
      <c r="D66" s="658" t="str">
        <f>'G-1 All Habitats'!B65</f>
        <v>Urban - Facade-bound green wall</v>
      </c>
    </row>
    <row r="67" spans="1:4">
      <c r="A67" s="658" t="s">
        <v>1260</v>
      </c>
      <c r="D67" s="658" t="str">
        <f>'G-1 All Habitats'!B66</f>
        <v>Urban - Ground based green wall</v>
      </c>
    </row>
    <row r="68" spans="1:4">
      <c r="A68" s="658" t="s">
        <v>1261</v>
      </c>
      <c r="D68" s="658" t="str">
        <f>'G-1 All Habitats'!B67</f>
        <v>Urban - Ground level planters</v>
      </c>
    </row>
    <row r="69" spans="1:4">
      <c r="A69" s="658" t="s">
        <v>1262</v>
      </c>
      <c r="D69" s="658" t="str">
        <f>'G-1 All Habitats'!B68</f>
        <v>Urban - Biodiverse green roof</v>
      </c>
    </row>
    <row r="70" spans="1:4">
      <c r="A70" s="658" t="s">
        <v>1263</v>
      </c>
      <c r="D70" s="658" t="str">
        <f>'G-1 All Habitats'!B69</f>
        <v>Urban - Introduced shrub</v>
      </c>
    </row>
    <row r="71" spans="1:4">
      <c r="A71" s="658" t="s">
        <v>1264</v>
      </c>
      <c r="D71" s="658" t="e">
        <f>'G-1 All Habitats'!#REF!</f>
        <v>#REF!</v>
      </c>
    </row>
    <row r="72" spans="1:4">
      <c r="A72" s="658" t="s">
        <v>1265</v>
      </c>
      <c r="D72" s="658" t="str">
        <f>'G-1 All Habitats'!B70</f>
        <v>Urban - Open Mosaic Habitats on Previously Developed Land</v>
      </c>
    </row>
    <row r="73" spans="1:4">
      <c r="A73" s="658" t="s">
        <v>1266</v>
      </c>
      <c r="D73" s="658" t="e">
        <f>'G-1 All Habitats'!#REF!</f>
        <v>#REF!</v>
      </c>
    </row>
    <row r="74" spans="1:4">
      <c r="A74" s="658" t="s">
        <v>1267</v>
      </c>
      <c r="D74" s="658" t="str">
        <f>'G-1 All Habitats'!B71</f>
        <v>Urban - Rain garden</v>
      </c>
    </row>
    <row r="75" spans="1:4">
      <c r="A75" s="658" t="s">
        <v>1268</v>
      </c>
      <c r="D75" s="658" t="str">
        <f>'G-1 All Habitats'!B72</f>
        <v>Urban - Actively worked sand pit quarry or open cast mine</v>
      </c>
    </row>
    <row r="76" spans="1:4">
      <c r="A76" s="658" t="s">
        <v>1269</v>
      </c>
      <c r="D76" s="658" t="str">
        <f>'G-1 All Habitats'!B73</f>
        <v>Urban - Urban Tree</v>
      </c>
    </row>
    <row r="77" spans="1:4">
      <c r="A77" s="658" t="s">
        <v>1270</v>
      </c>
      <c r="D77" s="658" t="e">
        <f>'G-1 All Habitats'!#REF!</f>
        <v>#REF!</v>
      </c>
    </row>
    <row r="78" spans="1:4">
      <c r="A78" s="658" t="s">
        <v>1271</v>
      </c>
      <c r="D78" s="658" t="str">
        <f>'G-1 All Habitats'!B74</f>
        <v>Urban - Sustainable urban drainage feature</v>
      </c>
    </row>
    <row r="79" spans="1:4">
      <c r="A79" s="658" t="s">
        <v>1272</v>
      </c>
      <c r="D79" s="658" t="str">
        <f>'G-1 All Habitats'!B75</f>
        <v>Urban - Un-vegetated garden</v>
      </c>
    </row>
    <row r="80" spans="1:4">
      <c r="A80" s="658" t="s">
        <v>1273</v>
      </c>
      <c r="D80" s="658" t="str">
        <f>'G-1 All Habitats'!B76</f>
        <v>Urban - Vacant/derelict land/ bareground</v>
      </c>
    </row>
    <row r="81" spans="1:4">
      <c r="A81" s="658" t="s">
        <v>1274</v>
      </c>
      <c r="D81" s="658" t="str">
        <f>'G-1 All Habitats'!B77</f>
        <v>Urban - Vegetated garden</v>
      </c>
    </row>
    <row r="82" spans="1:4">
      <c r="A82" s="658" t="s">
        <v>1275</v>
      </c>
      <c r="D82" s="658" t="e">
        <f>'G-1 All Habitats'!#REF!</f>
        <v>#REF!</v>
      </c>
    </row>
    <row r="83" spans="1:4">
      <c r="A83" s="658" t="s">
        <v>1276</v>
      </c>
      <c r="D83" s="658" t="str">
        <f>'G-1 All Habitats'!B78</f>
        <v>Wetland - Blanket bog</v>
      </c>
    </row>
    <row r="84" spans="1:4">
      <c r="A84" s="658" t="s">
        <v>1277</v>
      </c>
      <c r="D84" s="658" t="str">
        <f>'G-1 All Habitats'!B79</f>
        <v>Wetland - Depressions on Peat substrates (H7150)</v>
      </c>
    </row>
    <row r="85" spans="1:4">
      <c r="A85" s="658" t="s">
        <v>1278</v>
      </c>
      <c r="D85" s="658" t="str">
        <f>'G-1 All Habitats'!B80</f>
        <v>Wetland - Fens (upland and lowland)</v>
      </c>
    </row>
    <row r="86" spans="1:4">
      <c r="A86" s="658" t="s">
        <v>1279</v>
      </c>
      <c r="D86" s="658" t="str">
        <f>'G-1 All Habitats'!B81</f>
        <v>Wetland - Lowland raised bog</v>
      </c>
    </row>
    <row r="87" spans="1:4">
      <c r="A87" s="658" t="s">
        <v>1280</v>
      </c>
      <c r="D87" s="658" t="str">
        <f>'G-1 All Habitats'!B82</f>
        <v>Wetland - Oceanic Valley Mire[1] (D2.1)</v>
      </c>
    </row>
    <row r="88" spans="1:4">
      <c r="A88" s="658" t="s">
        <v>1281</v>
      </c>
      <c r="D88" s="658" t="str">
        <f>'G-1 All Habitats'!B83</f>
        <v>Wetland - Purple moor grass and rush pastures</v>
      </c>
    </row>
    <row r="89" spans="1:4">
      <c r="A89" s="658" t="s">
        <v>1282</v>
      </c>
      <c r="D89" s="658" t="str">
        <f>'G-1 All Habitats'!B84</f>
        <v>Wetland - Reedbeds</v>
      </c>
    </row>
    <row r="90" spans="1:4">
      <c r="A90" s="658" t="s">
        <v>1283</v>
      </c>
      <c r="D90" s="658" t="str">
        <f>'G-1 All Habitats'!B85</f>
        <v>Wetland - Transition mires and quaking bogs (H7140)</v>
      </c>
    </row>
    <row r="91" spans="1:4">
      <c r="A91" s="658" t="s">
        <v>1284</v>
      </c>
      <c r="D91" s="658" t="str">
        <f>'G-1 All Habitats'!B86</f>
        <v>Woodland and forest - Felled</v>
      </c>
    </row>
    <row r="92" spans="1:4">
      <c r="A92" s="658" t="s">
        <v>1285</v>
      </c>
      <c r="D92" s="658" t="str">
        <f>'G-1 All Habitats'!B87</f>
        <v>Woodland and forest - Lowland beech and yew woodland</v>
      </c>
    </row>
    <row r="93" spans="1:4">
      <c r="A93" s="658" t="s">
        <v>1286</v>
      </c>
      <c r="D93" s="658" t="str">
        <f>'G-1 All Habitats'!B88</f>
        <v>Woodland and forest - Lowland mixed deciduous woodland</v>
      </c>
    </row>
    <row r="94" spans="1:4">
      <c r="A94" s="658" t="s">
        <v>1287</v>
      </c>
      <c r="D94" s="658" t="str">
        <f>'G-1 All Habitats'!B89</f>
        <v>Woodland and forest - Native pine woodlands</v>
      </c>
    </row>
    <row r="95" spans="1:4">
      <c r="A95" s="658" t="s">
        <v>1288</v>
      </c>
      <c r="D95" s="658" t="str">
        <f>'G-1 All Habitats'!B90</f>
        <v>Woodland and forest - Other coniferous woodland</v>
      </c>
    </row>
    <row r="96" spans="1:4">
      <c r="A96" s="658" t="s">
        <v>1289</v>
      </c>
      <c r="D96" s="658" t="str">
        <f>'G-1 All Habitats'!B91</f>
        <v>Woodland and forest - Other Scot's Pine woodland</v>
      </c>
    </row>
    <row r="97" spans="1:4">
      <c r="A97" s="658" t="s">
        <v>1290</v>
      </c>
      <c r="D97" s="658" t="str">
        <f>'G-1 All Habitats'!B92</f>
        <v>Woodland and forest - Other woodland; broadleaved</v>
      </c>
    </row>
    <row r="98" spans="1:4">
      <c r="A98" s="658" t="s">
        <v>1291</v>
      </c>
      <c r="D98" s="658" t="str">
        <f>'G-1 All Habitats'!B93</f>
        <v>Woodland and forest - Other woodland; mixed</v>
      </c>
    </row>
    <row r="99" spans="1:4">
      <c r="A99" s="658" t="s">
        <v>1292</v>
      </c>
      <c r="D99" s="658" t="e">
        <f>'G-1 All Habitats'!#REF!</f>
        <v>#REF!</v>
      </c>
    </row>
    <row r="100" spans="1:4">
      <c r="A100" s="658" t="s">
        <v>1293</v>
      </c>
      <c r="D100" s="658" t="str">
        <f>'G-1 All Habitats'!B94</f>
        <v>Woodland and forest - Upland birchwoods</v>
      </c>
    </row>
    <row r="101" spans="1:4">
      <c r="A101" s="658" t="s">
        <v>1294</v>
      </c>
      <c r="D101" s="658" t="str">
        <f>'G-1 All Habitats'!B95</f>
        <v>Woodland and forest - Upland mixed ashwoods</v>
      </c>
    </row>
    <row r="102" spans="1:4">
      <c r="A102" s="658" t="s">
        <v>1295</v>
      </c>
      <c r="D102" s="658" t="str">
        <f>'G-1 All Habitats'!B96</f>
        <v>Woodland and forest - Upland oakwood</v>
      </c>
    </row>
    <row r="103" spans="1:4">
      <c r="A103" s="658" t="s">
        <v>1296</v>
      </c>
      <c r="D103" s="658" t="str">
        <f>'G-1 All Habitats'!B97</f>
        <v>Woodland and forest - Wet woodland</v>
      </c>
    </row>
    <row r="104" spans="1:4">
      <c r="A104" s="658" t="s">
        <v>1297</v>
      </c>
      <c r="D104" s="658" t="str">
        <f>'G-1 All Habitats'!B98</f>
        <v>Woodland and forest - Wood-pasture and parkland</v>
      </c>
    </row>
    <row r="105" spans="1:4">
      <c r="A105" s="658" t="s">
        <v>1298</v>
      </c>
      <c r="D105" s="658" t="str">
        <f>'G-1 All Habitats'!B99</f>
        <v>Coastal lagoons - Coastal lagoons</v>
      </c>
    </row>
    <row r="106" spans="1:4">
      <c r="A106" s="658" t="s">
        <v>1299</v>
      </c>
      <c r="D106" s="658" t="str">
        <f>'G-1 All Habitats'!B100</f>
        <v>Rocky shore - High energy littoral rock</v>
      </c>
    </row>
    <row r="107" spans="1:4">
      <c r="A107" s="658" t="s">
        <v>1300</v>
      </c>
      <c r="D107" s="658" t="str">
        <f>'G-1 All Habitats'!B101</f>
        <v>Rocky shore - High energy littoral rock - on peat, clay or chalk</v>
      </c>
    </row>
    <row r="108" spans="1:4">
      <c r="A108" s="658" t="s">
        <v>1301</v>
      </c>
      <c r="D108" s="658" t="str">
        <f>'G-1 All Habitats'!B102</f>
        <v>Rocky shore - Moderate energy littoral rock</v>
      </c>
    </row>
    <row r="109" spans="1:4">
      <c r="A109" s="658" t="s">
        <v>1302</v>
      </c>
      <c r="D109" s="658" t="str">
        <f>'G-1 All Habitats'!B103</f>
        <v>Rocky shore - Moderate energy littoral rock - on peat, clay or chalk</v>
      </c>
    </row>
    <row r="110" spans="1:4">
      <c r="A110" s="658" t="s">
        <v>1303</v>
      </c>
      <c r="D110" s="658" t="str">
        <f>'G-1 All Habitats'!B104</f>
        <v>Rocky shore - Low energy littoral rock</v>
      </c>
    </row>
    <row r="111" spans="1:4">
      <c r="A111" s="658" t="s">
        <v>1304</v>
      </c>
      <c r="D111" s="658" t="str">
        <f>'G-1 All Habitats'!B105</f>
        <v>Rocky shore - Low energy littoral rock - on peat, clay or chalk</v>
      </c>
    </row>
    <row r="112" spans="1:4">
      <c r="A112" s="658" t="s">
        <v>1305</v>
      </c>
      <c r="D112" s="658" t="str">
        <f>'G-1 All Habitats'!B106</f>
        <v>Rocky shore - Features of littoral rock</v>
      </c>
    </row>
    <row r="113" spans="1:4">
      <c r="A113" s="658" t="s">
        <v>1306</v>
      </c>
      <c r="D113" s="658" t="str">
        <f>'G-1 All Habitats'!B107</f>
        <v>Rocky shore - Features of littoral rock - on peat, clay or chalk</v>
      </c>
    </row>
    <row r="114" spans="1:4">
      <c r="A114" s="658" t="s">
        <v>1307</v>
      </c>
      <c r="D114" s="658" t="e">
        <f>'G-1 All Habitats'!#REF!</f>
        <v>#REF!</v>
      </c>
    </row>
    <row r="115" spans="1:4">
      <c r="A115" s="658" t="s">
        <v>1308</v>
      </c>
      <c r="D115" s="658" t="e">
        <f>'G-1 All Habitats'!#REF!</f>
        <v>#REF!</v>
      </c>
    </row>
    <row r="116" spans="1:4">
      <c r="A116" s="658" t="s">
        <v>1309</v>
      </c>
      <c r="D116" s="658" t="e">
        <f>'G-1 All Habitats'!#REF!</f>
        <v>#REF!</v>
      </c>
    </row>
    <row r="117" spans="1:4">
      <c r="A117" s="658" t="s">
        <v>1310</v>
      </c>
      <c r="D117" s="658" t="e">
        <f>'G-1 All Habitats'!#REF!</f>
        <v>#REF!</v>
      </c>
    </row>
    <row r="118" spans="1:4">
      <c r="A118" s="658" t="s">
        <v>1311</v>
      </c>
      <c r="D118" s="658" t="str">
        <f>'G-1 All Habitats'!B110</f>
        <v>Intertidal sediment - Littoral coarse sediment</v>
      </c>
    </row>
    <row r="119" spans="1:4">
      <c r="A119" s="658" t="s">
        <v>1312</v>
      </c>
      <c r="D119" s="658" t="e">
        <f>'G-1 All Habitats'!#REF!</f>
        <v>#REF!</v>
      </c>
    </row>
    <row r="120" spans="1:4">
      <c r="A120" s="658" t="s">
        <v>1313</v>
      </c>
      <c r="D120" s="658" t="str">
        <f>'G-1 All Habitats'!B111</f>
        <v>Intertidal sediment - Littoral mud</v>
      </c>
    </row>
    <row r="121" spans="1:4">
      <c r="A121" s="658" t="s">
        <v>1314</v>
      </c>
      <c r="D121" s="658" t="str">
        <f>'G-1 All Habitats'!B112</f>
        <v>Intertidal sediment - Littoral mixed sediments</v>
      </c>
    </row>
    <row r="122" spans="1:4">
      <c r="A122" s="658" t="s">
        <v>1315</v>
      </c>
      <c r="D122" s="658" t="str">
        <f>'G-1 All Habitats'!B108</f>
        <v>Coastal saltmarsh - Saltmarshes and saline reedbeds</v>
      </c>
    </row>
    <row r="123" spans="1:4">
      <c r="A123" s="658" t="s">
        <v>1316</v>
      </c>
      <c r="D123" s="658" t="str">
        <f>'G-1 All Habitats'!B113</f>
        <v>Intertidal sediment - Littoral seagrass</v>
      </c>
    </row>
    <row r="124" spans="1:4">
      <c r="A124" s="658" t="s">
        <v>1317</v>
      </c>
      <c r="D124" s="658" t="str">
        <f>'G-1 All Habitats'!B114</f>
        <v>Intertidal sediment - Littoral seagrass on peat, clay or chalk</v>
      </c>
    </row>
    <row r="125" spans="1:4">
      <c r="A125" s="658" t="s">
        <v>1318</v>
      </c>
      <c r="D125" s="658" t="str">
        <f>'G-1 All Habitats'!B116</f>
        <v>Intertidal sediment - Littoral biogenic reefs - Sabellaria</v>
      </c>
    </row>
    <row r="126" spans="1:4">
      <c r="A126" s="658" t="s">
        <v>1319</v>
      </c>
      <c r="D126" s="658" t="e">
        <f>'G-1 All Habitats'!#REF!</f>
        <v>#REF!</v>
      </c>
    </row>
    <row r="127" spans="1:4">
      <c r="A127" s="658" t="s">
        <v>1320</v>
      </c>
      <c r="D127" s="658" t="str">
        <f>'G-1 All Habitats'!B117</f>
        <v>Intertidal sediment - Features of littoral sediment</v>
      </c>
    </row>
    <row r="128" spans="1:4">
      <c r="A128" s="658" t="s">
        <v>1321</v>
      </c>
      <c r="D128" s="658" t="str">
        <f>'G-1 All Habitats'!B118</f>
        <v>Intertidal sediment - Artificial littoral coarse sediment</v>
      </c>
    </row>
    <row r="129" spans="1:4">
      <c r="A129" s="658" t="s">
        <v>1322</v>
      </c>
      <c r="D129" s="658" t="e">
        <f>'G-1 All Habitats'!#REF!</f>
        <v>#REF!</v>
      </c>
    </row>
    <row r="130" spans="1:4">
      <c r="A130" s="658" t="s">
        <v>1323</v>
      </c>
      <c r="D130" s="658" t="str">
        <f>'G-1 All Habitats'!B121</f>
        <v>Intertidal sediment - Artificial littoral muddy sand</v>
      </c>
    </row>
    <row r="131" spans="1:4">
      <c r="A131" s="658" t="s">
        <v>1324</v>
      </c>
      <c r="D131" s="658" t="str">
        <f>'G-1 All Habitats'!B122</f>
        <v>Intertidal sediment - Artificial littoral mixed sediments</v>
      </c>
    </row>
    <row r="132" spans="1:4">
      <c r="A132" s="658" t="s">
        <v>1325</v>
      </c>
      <c r="D132" s="658" t="str">
        <f>'G-1 All Habitats'!B123</f>
        <v>Intertidal sediment - Artificial littoral seagrass</v>
      </c>
    </row>
    <row r="133" spans="1:4">
      <c r="A133" s="658" t="s">
        <v>1326</v>
      </c>
      <c r="D133" s="658" t="str">
        <f>'G-1 All Habitats'!B124</f>
        <v>Intertidal sediment - Artificial littoral biogenic reefs</v>
      </c>
    </row>
    <row r="134" spans="1:4">
      <c r="A134" s="658" t="s">
        <v>1327</v>
      </c>
      <c r="D134" s="658" t="e">
        <f>'G-1 All Habitats'!#REF!</f>
        <v>#REF!</v>
      </c>
    </row>
    <row r="135" spans="1:4">
      <c r="A135" s="658" t="s">
        <v>1328</v>
      </c>
      <c r="D135" s="658" t="e">
        <f>'G-1 All Habitats'!#REF!</f>
        <v>#REF!</v>
      </c>
    </row>
    <row r="136" spans="1:4">
      <c r="A136" s="658" t="s">
        <v>1329</v>
      </c>
      <c r="D136" s="658">
        <f>'G-1 All Habitats'!B130</f>
        <v>0</v>
      </c>
    </row>
    <row r="137" spans="1:4">
      <c r="A137" s="658" t="s">
        <v>1330</v>
      </c>
      <c r="D137" s="658">
        <f>'G-1 All Habitats'!B131</f>
        <v>0</v>
      </c>
    </row>
    <row r="138" spans="1:4">
      <c r="A138" s="658" t="s">
        <v>1331</v>
      </c>
      <c r="D138" s="658">
        <f>'G-1 All Habitats'!B132</f>
        <v>0</v>
      </c>
    </row>
    <row r="139" spans="1:4">
      <c r="A139" s="658" t="s">
        <v>1332</v>
      </c>
      <c r="D139" s="658">
        <f>'G-1 All Habitats'!B133</f>
        <v>0</v>
      </c>
    </row>
    <row r="140" spans="1:4">
      <c r="A140" s="658" t="s">
        <v>1333</v>
      </c>
      <c r="D140" s="658">
        <f>'G-1 All Habitats'!B134</f>
        <v>0</v>
      </c>
    </row>
    <row r="141" spans="1:4">
      <c r="A141" s="658" t="s">
        <v>1334</v>
      </c>
      <c r="D141" s="658">
        <f>'G-1 All Habitats'!B135</f>
        <v>0</v>
      </c>
    </row>
    <row r="142" spans="1:4">
      <c r="A142" s="658" t="s">
        <v>1335</v>
      </c>
      <c r="D142" s="658">
        <f>'G-1 All Habitats'!B136</f>
        <v>0</v>
      </c>
    </row>
    <row r="143" spans="1:4">
      <c r="A143" s="658" t="s">
        <v>1336</v>
      </c>
      <c r="D143" s="658">
        <f>'G-1 All Habitats'!B137</f>
        <v>0</v>
      </c>
    </row>
    <row r="144" spans="1:4">
      <c r="A144" s="658" t="s">
        <v>1337</v>
      </c>
      <c r="D144" s="658">
        <f>'G-1 All Habitats'!B138</f>
        <v>0</v>
      </c>
    </row>
    <row r="145" spans="1:4">
      <c r="A145" s="658" t="s">
        <v>1338</v>
      </c>
      <c r="D145" s="658">
        <f>'G-1 All Habitats'!B139</f>
        <v>0</v>
      </c>
    </row>
    <row r="146" spans="1:4">
      <c r="A146" s="658" t="s">
        <v>1339</v>
      </c>
      <c r="D146" s="658">
        <f>'G-1 All Habitats'!B140</f>
        <v>0</v>
      </c>
    </row>
    <row r="147" spans="1:4">
      <c r="A147" s="658" t="s">
        <v>1340</v>
      </c>
      <c r="D147" s="658">
        <f>'G-1 All Habitats'!B141</f>
        <v>0</v>
      </c>
    </row>
    <row r="148" spans="1:4">
      <c r="A148" s="658" t="s">
        <v>1341</v>
      </c>
      <c r="D148" s="658">
        <f>'G-1 All Habitats'!B142</f>
        <v>0</v>
      </c>
    </row>
    <row r="149" spans="1:4">
      <c r="A149" s="658" t="s">
        <v>1342</v>
      </c>
      <c r="D149" s="658">
        <f>'G-1 All Habitats'!B143</f>
        <v>0</v>
      </c>
    </row>
    <row r="150" spans="1:4">
      <c r="A150" s="658" t="s">
        <v>1343</v>
      </c>
      <c r="D150" s="658">
        <f>'G-1 All Habitats'!B144</f>
        <v>0</v>
      </c>
    </row>
    <row r="151" spans="1:4">
      <c r="A151" s="658" t="s">
        <v>1344</v>
      </c>
      <c r="D151" s="658">
        <f>'G-1 All Habitats'!B145</f>
        <v>0</v>
      </c>
    </row>
    <row r="152" spans="1:4">
      <c r="A152" s="658" t="s">
        <v>1345</v>
      </c>
      <c r="D152" s="658">
        <f>'G-1 All Habitats'!B146</f>
        <v>0</v>
      </c>
    </row>
    <row r="153" spans="1:4">
      <c r="A153" s="658" t="s">
        <v>1346</v>
      </c>
      <c r="D153" s="658">
        <f>'G-1 All Habitats'!B147</f>
        <v>0</v>
      </c>
    </row>
    <row r="154" spans="1:4">
      <c r="A154" s="658" t="s">
        <v>1347</v>
      </c>
      <c r="D154" s="658">
        <f>'G-1 All Habitats'!B148</f>
        <v>0</v>
      </c>
    </row>
    <row r="155" spans="1:4">
      <c r="A155" s="658" t="s">
        <v>1348</v>
      </c>
      <c r="D155" s="658">
        <f>'G-1 All Habitats'!B149</f>
        <v>0</v>
      </c>
    </row>
    <row r="156" spans="1:4">
      <c r="A156" s="658" t="s">
        <v>1349</v>
      </c>
      <c r="D156" s="658">
        <f>'G-1 All Habitats'!B150</f>
        <v>0</v>
      </c>
    </row>
    <row r="157" spans="1:4">
      <c r="A157" s="658" t="s">
        <v>1350</v>
      </c>
    </row>
    <row r="158" spans="1:4">
      <c r="A158" s="658" t="s">
        <v>1351</v>
      </c>
    </row>
    <row r="159" spans="1:4">
      <c r="A159" s="658" t="s">
        <v>1352</v>
      </c>
    </row>
    <row r="160" spans="1:4">
      <c r="A160" s="658" t="s">
        <v>1353</v>
      </c>
    </row>
    <row r="161" spans="1:1">
      <c r="A161" s="658" t="s">
        <v>1354</v>
      </c>
    </row>
    <row r="162" spans="1:1">
      <c r="A162" s="658" t="s">
        <v>1355</v>
      </c>
    </row>
    <row r="163" spans="1:1">
      <c r="A163" s="658" t="s">
        <v>1356</v>
      </c>
    </row>
    <row r="164" spans="1:1">
      <c r="A164" s="658" t="s">
        <v>1357</v>
      </c>
    </row>
    <row r="165" spans="1:1">
      <c r="A165" s="658" t="s">
        <v>1358</v>
      </c>
    </row>
    <row r="166" spans="1:1">
      <c r="A166" s="658" t="s">
        <v>1359</v>
      </c>
    </row>
    <row r="167" spans="1:1">
      <c r="A167" s="658" t="s">
        <v>1360</v>
      </c>
    </row>
    <row r="168" spans="1:1">
      <c r="A168" s="658" t="s">
        <v>1361</v>
      </c>
    </row>
    <row r="169" spans="1:1">
      <c r="A169" s="658" t="s">
        <v>1362</v>
      </c>
    </row>
    <row r="170" spans="1:1">
      <c r="A170" s="658" t="s">
        <v>1363</v>
      </c>
    </row>
    <row r="171" spans="1:1">
      <c r="A171" s="658" t="s">
        <v>1364</v>
      </c>
    </row>
    <row r="172" spans="1:1">
      <c r="A172" s="658" t="s">
        <v>1365</v>
      </c>
    </row>
    <row r="173" spans="1:1">
      <c r="A173" s="658" t="s">
        <v>1366</v>
      </c>
    </row>
    <row r="174" spans="1:1">
      <c r="A174" s="658" t="s">
        <v>1367</v>
      </c>
    </row>
    <row r="175" spans="1:1">
      <c r="A175" s="658" t="s">
        <v>1368</v>
      </c>
    </row>
    <row r="176" spans="1:1">
      <c r="A176" s="658" t="s">
        <v>1369</v>
      </c>
    </row>
    <row r="177" spans="1:1">
      <c r="A177" s="658" t="s">
        <v>1370</v>
      </c>
    </row>
    <row r="178" spans="1:1">
      <c r="A178" s="658" t="s">
        <v>1371</v>
      </c>
    </row>
    <row r="179" spans="1:1">
      <c r="A179" s="658" t="s">
        <v>1372</v>
      </c>
    </row>
    <row r="180" spans="1:1">
      <c r="A180" s="658" t="s">
        <v>1373</v>
      </c>
    </row>
    <row r="181" spans="1:1">
      <c r="A181" s="658" t="s">
        <v>1374</v>
      </c>
    </row>
    <row r="182" spans="1:1">
      <c r="A182" s="658" t="s">
        <v>1375</v>
      </c>
    </row>
    <row r="183" spans="1:1">
      <c r="A183" s="658" t="s">
        <v>1376</v>
      </c>
    </row>
    <row r="184" spans="1:1">
      <c r="A184" s="658" t="s">
        <v>1377</v>
      </c>
    </row>
    <row r="185" spans="1:1">
      <c r="A185" s="658" t="s">
        <v>1378</v>
      </c>
    </row>
    <row r="186" spans="1:1">
      <c r="A186" s="658" t="s">
        <v>1379</v>
      </c>
    </row>
    <row r="187" spans="1:1">
      <c r="A187" s="658" t="s">
        <v>1380</v>
      </c>
    </row>
    <row r="188" spans="1:1">
      <c r="A188" s="658" t="s">
        <v>1381</v>
      </c>
    </row>
    <row r="189" spans="1:1">
      <c r="A189" s="658" t="s">
        <v>1382</v>
      </c>
    </row>
    <row r="190" spans="1:1">
      <c r="A190" s="658" t="s">
        <v>1383</v>
      </c>
    </row>
    <row r="191" spans="1:1">
      <c r="A191" s="658" t="s">
        <v>1384</v>
      </c>
    </row>
    <row r="192" spans="1:1">
      <c r="A192" s="658" t="s">
        <v>1385</v>
      </c>
    </row>
    <row r="193" spans="1:1">
      <c r="A193" s="658" t="s">
        <v>1386</v>
      </c>
    </row>
    <row r="194" spans="1:1">
      <c r="A194" s="658" t="s">
        <v>1387</v>
      </c>
    </row>
    <row r="195" spans="1:1">
      <c r="A195" s="658" t="s">
        <v>1388</v>
      </c>
    </row>
    <row r="196" spans="1:1">
      <c r="A196" s="658" t="s">
        <v>1389</v>
      </c>
    </row>
    <row r="197" spans="1:1">
      <c r="A197" s="658" t="s">
        <v>1390</v>
      </c>
    </row>
    <row r="198" spans="1:1">
      <c r="A198" s="658" t="s">
        <v>1391</v>
      </c>
    </row>
    <row r="199" spans="1:1">
      <c r="A199" s="658" t="s">
        <v>1392</v>
      </c>
    </row>
    <row r="200" spans="1:1">
      <c r="A200" s="658" t="s">
        <v>1393</v>
      </c>
    </row>
    <row r="201" spans="1:1">
      <c r="A201" s="658" t="s">
        <v>1394</v>
      </c>
    </row>
    <row r="202" spans="1:1">
      <c r="A202" s="658" t="s">
        <v>1395</v>
      </c>
    </row>
    <row r="203" spans="1:1">
      <c r="A203" s="658" t="s">
        <v>1396</v>
      </c>
    </row>
    <row r="204" spans="1:1">
      <c r="A204" s="658" t="s">
        <v>1397</v>
      </c>
    </row>
    <row r="205" spans="1:1">
      <c r="A205" s="658" t="s">
        <v>1398</v>
      </c>
    </row>
    <row r="206" spans="1:1">
      <c r="A206" s="658" t="s">
        <v>1399</v>
      </c>
    </row>
    <row r="207" spans="1:1">
      <c r="A207" s="658" t="s">
        <v>1400</v>
      </c>
    </row>
    <row r="208" spans="1:1">
      <c r="A208" s="658" t="s">
        <v>1401</v>
      </c>
    </row>
    <row r="209" spans="1:1">
      <c r="A209" s="658" t="s">
        <v>1402</v>
      </c>
    </row>
    <row r="210" spans="1:1">
      <c r="A210" s="658" t="s">
        <v>1403</v>
      </c>
    </row>
    <row r="211" spans="1:1">
      <c r="A211" s="658" t="s">
        <v>1404</v>
      </c>
    </row>
    <row r="212" spans="1:1">
      <c r="A212" s="658" t="s">
        <v>1405</v>
      </c>
    </row>
    <row r="213" spans="1:1">
      <c r="A213" s="658" t="s">
        <v>1406</v>
      </c>
    </row>
    <row r="214" spans="1:1">
      <c r="A214" s="658" t="s">
        <v>1407</v>
      </c>
    </row>
    <row r="215" spans="1:1">
      <c r="A215" s="658" t="s">
        <v>1408</v>
      </c>
    </row>
    <row r="216" spans="1:1">
      <c r="A216" s="658" t="s">
        <v>1409</v>
      </c>
    </row>
    <row r="217" spans="1:1">
      <c r="A217" s="658" t="s">
        <v>1410</v>
      </c>
    </row>
    <row r="218" spans="1:1">
      <c r="A218" s="658" t="s">
        <v>1411</v>
      </c>
    </row>
    <row r="219" spans="1:1">
      <c r="A219" s="658" t="s">
        <v>1412</v>
      </c>
    </row>
    <row r="220" spans="1:1">
      <c r="A220" s="658" t="s">
        <v>1413</v>
      </c>
    </row>
    <row r="221" spans="1:1">
      <c r="A221" s="658" t="s">
        <v>1414</v>
      </c>
    </row>
    <row r="222" spans="1:1">
      <c r="A222" s="658" t="s">
        <v>1415</v>
      </c>
    </row>
    <row r="223" spans="1:1">
      <c r="A223" s="658" t="s">
        <v>1416</v>
      </c>
    </row>
    <row r="224" spans="1:1">
      <c r="A224" s="658" t="s">
        <v>1417</v>
      </c>
    </row>
    <row r="225" spans="1:1">
      <c r="A225" s="658" t="s">
        <v>1418</v>
      </c>
    </row>
    <row r="226" spans="1:1">
      <c r="A226" s="658" t="s">
        <v>1419</v>
      </c>
    </row>
    <row r="227" spans="1:1">
      <c r="A227" s="658" t="s">
        <v>1420</v>
      </c>
    </row>
    <row r="228" spans="1:1">
      <c r="A228" s="658" t="s">
        <v>1421</v>
      </c>
    </row>
    <row r="229" spans="1:1">
      <c r="A229" s="658" t="s">
        <v>1422</v>
      </c>
    </row>
    <row r="230" spans="1:1">
      <c r="A230" s="658" t="s">
        <v>1423</v>
      </c>
    </row>
    <row r="231" spans="1:1">
      <c r="A231" s="658" t="s">
        <v>1424</v>
      </c>
    </row>
    <row r="232" spans="1:1">
      <c r="A232" s="658" t="s">
        <v>1425</v>
      </c>
    </row>
    <row r="233" spans="1:1">
      <c r="A233" s="658" t="s">
        <v>1426</v>
      </c>
    </row>
    <row r="234" spans="1:1">
      <c r="A234" s="658" t="s">
        <v>1427</v>
      </c>
    </row>
    <row r="235" spans="1:1">
      <c r="A235" s="658" t="s">
        <v>1428</v>
      </c>
    </row>
    <row r="236" spans="1:1">
      <c r="A236" s="658" t="s">
        <v>1429</v>
      </c>
    </row>
    <row r="237" spans="1:1">
      <c r="A237" s="658" t="s">
        <v>1430</v>
      </c>
    </row>
    <row r="238" spans="1:1">
      <c r="A238" s="658" t="s">
        <v>1431</v>
      </c>
    </row>
    <row r="239" spans="1:1">
      <c r="A239" s="658" t="s">
        <v>1432</v>
      </c>
    </row>
    <row r="240" spans="1:1">
      <c r="A240" s="658" t="s">
        <v>1433</v>
      </c>
    </row>
    <row r="241" spans="1:1">
      <c r="A241" s="658" t="s">
        <v>1434</v>
      </c>
    </row>
    <row r="242" spans="1:1">
      <c r="A242" s="658" t="s">
        <v>1435</v>
      </c>
    </row>
    <row r="243" spans="1:1">
      <c r="A243" s="658" t="s">
        <v>1436</v>
      </c>
    </row>
    <row r="244" spans="1:1">
      <c r="A244" s="658" t="s">
        <v>1437</v>
      </c>
    </row>
    <row r="245" spans="1:1">
      <c r="A245" s="658" t="s">
        <v>1438</v>
      </c>
    </row>
    <row r="246" spans="1:1">
      <c r="A246" s="658" t="s">
        <v>1439</v>
      </c>
    </row>
    <row r="247" spans="1:1">
      <c r="A247" s="658" t="s">
        <v>1440</v>
      </c>
    </row>
    <row r="248" spans="1:1">
      <c r="A248" s="658" t="s">
        <v>1441</v>
      </c>
    </row>
    <row r="249" spans="1:1">
      <c r="A249" s="658" t="s">
        <v>1442</v>
      </c>
    </row>
    <row r="250" spans="1:1">
      <c r="A250" s="658" t="s">
        <v>1443</v>
      </c>
    </row>
    <row r="251" spans="1:1">
      <c r="A251" s="658" t="s">
        <v>1444</v>
      </c>
    </row>
    <row r="252" spans="1:1">
      <c r="A252" s="658" t="s">
        <v>1445</v>
      </c>
    </row>
    <row r="253" spans="1:1">
      <c r="A253" s="658" t="s">
        <v>1446</v>
      </c>
    </row>
    <row r="254" spans="1:1">
      <c r="A254" s="658" t="s">
        <v>1447</v>
      </c>
    </row>
    <row r="255" spans="1:1">
      <c r="A255" s="658" t="s">
        <v>1448</v>
      </c>
    </row>
    <row r="256" spans="1:1">
      <c r="A256" s="658" t="s">
        <v>1449</v>
      </c>
    </row>
    <row r="257" spans="1:1">
      <c r="A257" s="658" t="s">
        <v>1450</v>
      </c>
    </row>
    <row r="258" spans="1:1">
      <c r="A258" s="658" t="s">
        <v>1451</v>
      </c>
    </row>
    <row r="259" spans="1:1">
      <c r="A259" s="658" t="s">
        <v>1452</v>
      </c>
    </row>
    <row r="260" spans="1:1">
      <c r="A260" s="658" t="s">
        <v>1453</v>
      </c>
    </row>
    <row r="261" spans="1:1">
      <c r="A261" s="658" t="s">
        <v>1454</v>
      </c>
    </row>
    <row r="262" spans="1:1">
      <c r="A262" s="658" t="s">
        <v>1455</v>
      </c>
    </row>
    <row r="263" spans="1:1">
      <c r="A263" s="658" t="s">
        <v>1456</v>
      </c>
    </row>
    <row r="264" spans="1:1">
      <c r="A264" s="658" t="s">
        <v>1457</v>
      </c>
    </row>
    <row r="265" spans="1:1">
      <c r="A265" s="658" t="s">
        <v>1458</v>
      </c>
    </row>
    <row r="266" spans="1:1">
      <c r="A266" s="658" t="s">
        <v>1459</v>
      </c>
    </row>
    <row r="267" spans="1:1">
      <c r="A267" s="658" t="s">
        <v>1460</v>
      </c>
    </row>
    <row r="268" spans="1:1">
      <c r="A268" s="658" t="s">
        <v>1461</v>
      </c>
    </row>
    <row r="269" spans="1:1">
      <c r="A269" s="658" t="s">
        <v>1462</v>
      </c>
    </row>
    <row r="270" spans="1:1">
      <c r="A270" s="658" t="s">
        <v>1463</v>
      </c>
    </row>
    <row r="271" spans="1:1">
      <c r="A271" s="658" t="s">
        <v>1464</v>
      </c>
    </row>
    <row r="272" spans="1:1">
      <c r="A272" s="658" t="s">
        <v>1465</v>
      </c>
    </row>
    <row r="273" spans="1:1">
      <c r="A273" s="658" t="s">
        <v>1466</v>
      </c>
    </row>
    <row r="274" spans="1:1">
      <c r="A274" s="658" t="s">
        <v>1467</v>
      </c>
    </row>
    <row r="275" spans="1:1">
      <c r="A275" s="658" t="s">
        <v>1468</v>
      </c>
    </row>
    <row r="276" spans="1:1">
      <c r="A276" s="658" t="s">
        <v>1469</v>
      </c>
    </row>
    <row r="277" spans="1:1">
      <c r="A277" s="658" t="s">
        <v>1470</v>
      </c>
    </row>
    <row r="278" spans="1:1">
      <c r="A278" s="658" t="s">
        <v>1471</v>
      </c>
    </row>
    <row r="279" spans="1:1">
      <c r="A279" s="658" t="s">
        <v>1472</v>
      </c>
    </row>
    <row r="280" spans="1:1">
      <c r="A280" s="658" t="s">
        <v>1473</v>
      </c>
    </row>
    <row r="281" spans="1:1">
      <c r="A281" s="658" t="s">
        <v>1474</v>
      </c>
    </row>
    <row r="282" spans="1:1">
      <c r="A282" s="658" t="s">
        <v>1475</v>
      </c>
    </row>
    <row r="283" spans="1:1">
      <c r="A283" s="658" t="s">
        <v>1476</v>
      </c>
    </row>
    <row r="284" spans="1:1">
      <c r="A284" s="658" t="s">
        <v>1477</v>
      </c>
    </row>
    <row r="285" spans="1:1">
      <c r="A285" s="658" t="s">
        <v>1478</v>
      </c>
    </row>
    <row r="286" spans="1:1">
      <c r="A286" s="658" t="s">
        <v>1479</v>
      </c>
    </row>
    <row r="287" spans="1:1">
      <c r="A287" s="658" t="s">
        <v>1480</v>
      </c>
    </row>
    <row r="288" spans="1:1">
      <c r="A288" s="658" t="s">
        <v>1481</v>
      </c>
    </row>
    <row r="289" spans="1:1">
      <c r="A289" s="658" t="s">
        <v>1482</v>
      </c>
    </row>
    <row r="290" spans="1:1">
      <c r="A290" s="658" t="s">
        <v>1483</v>
      </c>
    </row>
    <row r="291" spans="1:1">
      <c r="A291" s="658" t="s">
        <v>1484</v>
      </c>
    </row>
    <row r="292" spans="1:1">
      <c r="A292" s="658" t="s">
        <v>1485</v>
      </c>
    </row>
    <row r="293" spans="1:1">
      <c r="A293" s="658" t="s">
        <v>1486</v>
      </c>
    </row>
    <row r="294" spans="1:1">
      <c r="A294" s="658" t="s">
        <v>1487</v>
      </c>
    </row>
    <row r="295" spans="1:1">
      <c r="A295" s="658" t="s">
        <v>1488</v>
      </c>
    </row>
    <row r="296" spans="1:1">
      <c r="A296" s="658" t="s">
        <v>1489</v>
      </c>
    </row>
    <row r="297" spans="1:1">
      <c r="A297" s="658" t="s">
        <v>1490</v>
      </c>
    </row>
    <row r="298" spans="1:1">
      <c r="A298" s="658" t="s">
        <v>1491</v>
      </c>
    </row>
    <row r="299" spans="1:1">
      <c r="A299" s="658" t="s">
        <v>1492</v>
      </c>
    </row>
    <row r="300" spans="1:1">
      <c r="A300" s="658" t="s">
        <v>1493</v>
      </c>
    </row>
    <row r="301" spans="1:1">
      <c r="A301" s="658" t="s">
        <v>1494</v>
      </c>
    </row>
    <row r="302" spans="1:1">
      <c r="A302" s="658" t="s">
        <v>1495</v>
      </c>
    </row>
    <row r="303" spans="1:1">
      <c r="A303" s="658" t="s">
        <v>1496</v>
      </c>
    </row>
    <row r="304" spans="1:1">
      <c r="A304" s="658" t="s">
        <v>1497</v>
      </c>
    </row>
    <row r="305" spans="1:1">
      <c r="A305" s="658" t="s">
        <v>1498</v>
      </c>
    </row>
    <row r="306" spans="1:1">
      <c r="A306" s="658" t="s">
        <v>1499</v>
      </c>
    </row>
    <row r="307" spans="1:1">
      <c r="A307" s="658" t="s">
        <v>1500</v>
      </c>
    </row>
    <row r="308" spans="1:1">
      <c r="A308" s="658" t="s">
        <v>1501</v>
      </c>
    </row>
    <row r="309" spans="1:1">
      <c r="A309" s="658" t="s">
        <v>1502</v>
      </c>
    </row>
    <row r="310" spans="1:1">
      <c r="A310" s="658" t="s">
        <v>1503</v>
      </c>
    </row>
    <row r="311" spans="1:1">
      <c r="A311" s="658" t="s">
        <v>1504</v>
      </c>
    </row>
    <row r="312" spans="1:1">
      <c r="A312" s="658" t="s">
        <v>1505</v>
      </c>
    </row>
    <row r="313" spans="1:1">
      <c r="A313" s="658" t="s">
        <v>1506</v>
      </c>
    </row>
    <row r="314" spans="1:1">
      <c r="A314" s="658" t="s">
        <v>1507</v>
      </c>
    </row>
    <row r="315" spans="1:1">
      <c r="A315" s="658" t="s">
        <v>1508</v>
      </c>
    </row>
    <row r="316" spans="1:1">
      <c r="A316" s="658" t="s">
        <v>1509</v>
      </c>
    </row>
    <row r="317" spans="1:1">
      <c r="A317" s="658" t="s">
        <v>1510</v>
      </c>
    </row>
    <row r="318" spans="1:1">
      <c r="A318" s="658" t="s">
        <v>1511</v>
      </c>
    </row>
    <row r="319" spans="1:1">
      <c r="A319" s="658" t="s">
        <v>1512</v>
      </c>
    </row>
    <row r="320" spans="1:1">
      <c r="A320" s="658" t="s">
        <v>1513</v>
      </c>
    </row>
    <row r="321" spans="1:1">
      <c r="A321" s="658" t="s">
        <v>1514</v>
      </c>
    </row>
    <row r="322" spans="1:1">
      <c r="A322" s="658" t="s">
        <v>1515</v>
      </c>
    </row>
    <row r="323" spans="1:1">
      <c r="A323" s="658" t="s">
        <v>1516</v>
      </c>
    </row>
    <row r="324" spans="1:1">
      <c r="A324" s="658" t="s">
        <v>1517</v>
      </c>
    </row>
    <row r="325" spans="1:1">
      <c r="A325" s="658" t="s">
        <v>1518</v>
      </c>
    </row>
    <row r="326" spans="1:1">
      <c r="A326" s="658" t="s">
        <v>1519</v>
      </c>
    </row>
    <row r="327" spans="1:1">
      <c r="A327" s="658" t="s">
        <v>1520</v>
      </c>
    </row>
    <row r="328" spans="1:1">
      <c r="A328" s="658" t="s">
        <v>1521</v>
      </c>
    </row>
    <row r="329" spans="1:1">
      <c r="A329" s="658" t="s">
        <v>1522</v>
      </c>
    </row>
    <row r="330" spans="1:1">
      <c r="A330" s="658" t="s">
        <v>1523</v>
      </c>
    </row>
    <row r="331" spans="1:1">
      <c r="A331" s="658" t="s">
        <v>1524</v>
      </c>
    </row>
    <row r="332" spans="1:1">
      <c r="A332" s="658" t="s">
        <v>1525</v>
      </c>
    </row>
    <row r="333" spans="1:1">
      <c r="A333" s="658" t="s">
        <v>1526</v>
      </c>
    </row>
    <row r="334" spans="1:1">
      <c r="A334" s="658" t="s">
        <v>1527</v>
      </c>
    </row>
    <row r="335" spans="1:1">
      <c r="A335" s="658" t="s">
        <v>1528</v>
      </c>
    </row>
    <row r="336" spans="1:1">
      <c r="A336" s="658" t="s">
        <v>1529</v>
      </c>
    </row>
    <row r="337" spans="1:1">
      <c r="A337" s="658" t="s">
        <v>1530</v>
      </c>
    </row>
    <row r="338" spans="1:1">
      <c r="A338" s="658" t="s">
        <v>1531</v>
      </c>
    </row>
    <row r="339" spans="1:1">
      <c r="A339" s="658" t="s">
        <v>1532</v>
      </c>
    </row>
    <row r="340" spans="1:1">
      <c r="A340" s="658" t="s">
        <v>1533</v>
      </c>
    </row>
    <row r="341" spans="1:1">
      <c r="A341" s="658" t="s">
        <v>1534</v>
      </c>
    </row>
    <row r="342" spans="1:1">
      <c r="A342" s="658" t="s">
        <v>1535</v>
      </c>
    </row>
    <row r="343" spans="1:1">
      <c r="A343" s="658" t="s">
        <v>1536</v>
      </c>
    </row>
    <row r="344" spans="1:1">
      <c r="A344" s="658" t="s">
        <v>1537</v>
      </c>
    </row>
    <row r="345" spans="1:1">
      <c r="A345" s="658" t="s">
        <v>1538</v>
      </c>
    </row>
    <row r="346" spans="1:1">
      <c r="A346" s="658" t="s">
        <v>1539</v>
      </c>
    </row>
    <row r="347" spans="1:1">
      <c r="A347" s="658" t="s">
        <v>1540</v>
      </c>
    </row>
    <row r="348" spans="1:1">
      <c r="A348" s="658" t="s">
        <v>1541</v>
      </c>
    </row>
    <row r="349" spans="1:1">
      <c r="A349" s="658" t="s">
        <v>1542</v>
      </c>
    </row>
    <row r="350" spans="1:1">
      <c r="A350" s="658" t="s">
        <v>1543</v>
      </c>
    </row>
    <row r="351" spans="1:1">
      <c r="A351" s="658" t="s">
        <v>1544</v>
      </c>
    </row>
    <row r="352" spans="1:1">
      <c r="A352" s="658" t="s">
        <v>1545</v>
      </c>
    </row>
    <row r="353" spans="1:1">
      <c r="A353" s="658" t="s">
        <v>1546</v>
      </c>
    </row>
    <row r="354" spans="1:1">
      <c r="A354" s="658" t="s">
        <v>1547</v>
      </c>
    </row>
    <row r="355" spans="1:1">
      <c r="A355" s="658" t="s">
        <v>1548</v>
      </c>
    </row>
    <row r="356" spans="1:1">
      <c r="A356" s="658" t="s">
        <v>1549</v>
      </c>
    </row>
    <row r="357" spans="1:1">
      <c r="A357" s="658" t="s">
        <v>1550</v>
      </c>
    </row>
    <row r="358" spans="1:1">
      <c r="A358" s="658" t="s">
        <v>1551</v>
      </c>
    </row>
    <row r="359" spans="1:1">
      <c r="A359" s="658" t="s">
        <v>1552</v>
      </c>
    </row>
    <row r="360" spans="1:1">
      <c r="A360" s="658" t="s">
        <v>1553</v>
      </c>
    </row>
    <row r="361" spans="1:1">
      <c r="A361" s="658" t="s">
        <v>1554</v>
      </c>
    </row>
    <row r="362" spans="1:1">
      <c r="A362" s="658" t="s">
        <v>1555</v>
      </c>
    </row>
    <row r="363" spans="1:1">
      <c r="A363" s="658" t="s">
        <v>1556</v>
      </c>
    </row>
    <row r="364" spans="1:1">
      <c r="A364" s="658" t="s">
        <v>1557</v>
      </c>
    </row>
    <row r="365" spans="1:1">
      <c r="A365" s="658" t="s">
        <v>1558</v>
      </c>
    </row>
    <row r="366" spans="1:1">
      <c r="A366" s="658" t="s">
        <v>1559</v>
      </c>
    </row>
    <row r="367" spans="1:1">
      <c r="A367" s="658" t="s">
        <v>1560</v>
      </c>
    </row>
    <row r="368" spans="1:1">
      <c r="A368" s="658" t="s">
        <v>1561</v>
      </c>
    </row>
    <row r="369" spans="1:1">
      <c r="A369" s="658" t="s">
        <v>1562</v>
      </c>
    </row>
    <row r="370" spans="1:1">
      <c r="A370" s="658" t="s">
        <v>1563</v>
      </c>
    </row>
    <row r="371" spans="1:1">
      <c r="A371" s="658" t="s">
        <v>1564</v>
      </c>
    </row>
    <row r="372" spans="1:1">
      <c r="A372" s="658" t="s">
        <v>1565</v>
      </c>
    </row>
    <row r="373" spans="1:1">
      <c r="A373" s="658" t="s">
        <v>1566</v>
      </c>
    </row>
    <row r="374" spans="1:1">
      <c r="A374" s="658" t="s">
        <v>1567</v>
      </c>
    </row>
    <row r="375" spans="1:1">
      <c r="A375" s="658" t="s">
        <v>1568</v>
      </c>
    </row>
    <row r="376" spans="1:1">
      <c r="A376" s="658" t="s">
        <v>1569</v>
      </c>
    </row>
    <row r="377" spans="1:1">
      <c r="A377" s="658" t="s">
        <v>1570</v>
      </c>
    </row>
    <row r="378" spans="1:1">
      <c r="A378" s="658" t="s">
        <v>1571</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election activeCell="U7" sqref="U7"/>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c r="B1" s="2"/>
      <c r="C1" s="2"/>
      <c r="E1" s="6"/>
      <c r="F1" s="719"/>
      <c r="G1" s="719"/>
      <c r="H1" s="719"/>
      <c r="I1" s="719"/>
      <c r="J1" s="719"/>
      <c r="K1" s="720"/>
      <c r="L1" s="720"/>
      <c r="M1" s="720"/>
      <c r="N1" s="720"/>
      <c r="O1" s="720"/>
    </row>
    <row r="2" spans="1:23" ht="15.75" customHeight="1">
      <c r="B2" s="2"/>
      <c r="C2" s="2"/>
      <c r="D2" s="724"/>
      <c r="E2" s="724"/>
    </row>
    <row r="3" spans="1:23" ht="15.75" customHeight="1">
      <c r="A3" s="6"/>
      <c r="B3" s="6"/>
      <c r="C3" s="6"/>
      <c r="D3" s="6"/>
      <c r="E3" s="6"/>
      <c r="F3" s="7"/>
      <c r="G3" s="7"/>
      <c r="H3" s="7"/>
      <c r="I3" s="7"/>
      <c r="J3" s="7"/>
      <c r="K3" s="7"/>
      <c r="L3" s="7"/>
      <c r="M3" s="7"/>
      <c r="N3" s="7"/>
      <c r="O3" s="7"/>
      <c r="P3" s="7"/>
      <c r="Q3" s="717" t="s">
        <v>17</v>
      </c>
      <c r="R3" s="718"/>
      <c r="S3" s="718"/>
    </row>
    <row r="4" spans="1:23" ht="35.25" customHeight="1">
      <c r="A4" s="6"/>
      <c r="B4" s="6"/>
      <c r="C4" s="6"/>
      <c r="D4" s="6"/>
      <c r="E4" s="6"/>
      <c r="F4" s="7"/>
      <c r="G4" s="7"/>
      <c r="H4" s="7"/>
      <c r="I4" s="7"/>
      <c r="J4" s="7"/>
      <c r="K4" s="7"/>
      <c r="L4" s="7"/>
      <c r="M4" s="7"/>
      <c r="N4" s="7"/>
      <c r="O4" s="7"/>
      <c r="P4" s="7"/>
      <c r="Q4" s="722" t="s">
        <v>18</v>
      </c>
      <c r="R4" s="715" t="s">
        <v>19</v>
      </c>
      <c r="S4" s="715"/>
      <c r="T4" s="715"/>
      <c r="U4" s="715"/>
      <c r="V4" s="715"/>
      <c r="W4" s="716"/>
    </row>
    <row r="5" spans="1:23" ht="16.5" customHeight="1">
      <c r="A5" s="6"/>
      <c r="B5" s="6"/>
      <c r="C5" s="6"/>
      <c r="D5" s="6"/>
      <c r="E5" s="6"/>
      <c r="F5" s="4"/>
      <c r="G5" s="4"/>
      <c r="H5" s="4"/>
      <c r="I5" s="4"/>
      <c r="J5" s="4"/>
      <c r="K5" s="4"/>
      <c r="L5" s="4"/>
      <c r="M5" s="4"/>
      <c r="N5" s="4"/>
      <c r="O5" s="4"/>
      <c r="P5" s="4"/>
      <c r="Q5" s="723"/>
      <c r="R5" s="627" t="s">
        <v>20</v>
      </c>
      <c r="S5" s="628" t="s">
        <v>21</v>
      </c>
      <c r="T5" s="629" t="s">
        <v>22</v>
      </c>
      <c r="U5" s="628" t="s">
        <v>21</v>
      </c>
      <c r="V5" s="628" t="s">
        <v>23</v>
      </c>
      <c r="W5" s="628" t="s">
        <v>21</v>
      </c>
    </row>
    <row r="6" spans="1:23" ht="16.5" customHeight="1">
      <c r="B6" s="2"/>
      <c r="C6" s="2"/>
      <c r="D6" s="6"/>
      <c r="E6" s="6"/>
      <c r="F6" s="4"/>
      <c r="G6" s="4"/>
      <c r="H6" s="4"/>
      <c r="I6" s="4"/>
      <c r="J6" s="4"/>
      <c r="K6" s="4"/>
      <c r="L6" s="4"/>
      <c r="M6" s="4"/>
      <c r="N6" s="4"/>
      <c r="O6" s="4"/>
      <c r="P6" s="4"/>
      <c r="Q6" s="626" t="s">
        <v>24</v>
      </c>
      <c r="R6" s="21"/>
      <c r="S6" s="561">
        <f>R6*'G-3 Multipliers'!$Z$4</f>
        <v>0</v>
      </c>
      <c r="T6" s="21"/>
      <c r="U6" s="561">
        <f>T6*'G-3 Multipliers'!$Z$4</f>
        <v>0</v>
      </c>
      <c r="V6" s="21"/>
      <c r="W6" s="561">
        <f>V6*'G-3 Multipliers'!$Z$4</f>
        <v>0</v>
      </c>
    </row>
    <row r="7" spans="1:23" ht="16.5" customHeight="1">
      <c r="B7" s="2"/>
      <c r="C7" s="6"/>
      <c r="D7" s="6"/>
      <c r="E7" s="6"/>
      <c r="F7" s="4"/>
      <c r="G7" s="4"/>
      <c r="H7" s="4"/>
      <c r="I7" s="4"/>
      <c r="J7" s="4"/>
      <c r="K7" s="4"/>
      <c r="L7" s="4"/>
      <c r="M7" s="4"/>
      <c r="N7" s="4"/>
      <c r="O7" s="4"/>
      <c r="P7" s="4"/>
      <c r="Q7" s="626" t="s">
        <v>25</v>
      </c>
      <c r="R7" s="21"/>
      <c r="S7" s="561">
        <f>R7*'G-3 Multipliers'!$Z$5</f>
        <v>0</v>
      </c>
      <c r="T7" s="21">
        <v>70</v>
      </c>
      <c r="U7" s="561">
        <f>T7*'G-3 Multipliers'!$Z$5</f>
        <v>2.5637472000000003</v>
      </c>
      <c r="V7" s="21"/>
      <c r="W7" s="561">
        <f>V7*'G-3 Multipliers'!$Z$5</f>
        <v>0</v>
      </c>
    </row>
    <row r="8" spans="1:23" ht="18" customHeight="1">
      <c r="B8" s="2"/>
      <c r="C8" s="2"/>
      <c r="D8" s="6"/>
      <c r="E8" s="6"/>
      <c r="F8" s="4"/>
      <c r="G8" s="4"/>
      <c r="H8" s="4"/>
      <c r="I8" s="4"/>
      <c r="J8" s="4"/>
      <c r="K8" s="4"/>
      <c r="L8" s="4"/>
      <c r="M8" s="4"/>
      <c r="N8" s="4"/>
      <c r="O8" s="4"/>
      <c r="P8" s="4"/>
      <c r="Q8" s="626" t="s">
        <v>26</v>
      </c>
      <c r="R8" s="21"/>
      <c r="S8" s="561">
        <f>R8*'G-3 Multipliers'!$Z$6</f>
        <v>0</v>
      </c>
      <c r="T8" s="21"/>
      <c r="U8" s="561">
        <f>T8*'G-3 Multipliers'!$Z$6</f>
        <v>0</v>
      </c>
      <c r="V8" s="21">
        <v>0</v>
      </c>
      <c r="W8" s="561">
        <f>V8*'G-3 Multipliers'!$Z$6</f>
        <v>0</v>
      </c>
    </row>
    <row r="9" spans="1:23" ht="16.5" customHeight="1">
      <c r="B9" s="2"/>
      <c r="C9" s="2"/>
      <c r="D9" s="3"/>
      <c r="E9" s="3"/>
      <c r="F9" s="4"/>
      <c r="G9" s="4"/>
      <c r="H9" s="4"/>
      <c r="I9" s="4"/>
      <c r="J9" s="4"/>
      <c r="K9" s="4"/>
      <c r="L9" s="4"/>
      <c r="M9" s="4"/>
      <c r="N9" s="4"/>
      <c r="O9" s="4"/>
      <c r="P9" s="4"/>
      <c r="Q9" s="626" t="s">
        <v>27</v>
      </c>
      <c r="R9" s="652">
        <f t="shared" ref="R9:W9" si="0">SUM(R6:R8)</f>
        <v>0</v>
      </c>
      <c r="S9" s="560">
        <f t="shared" si="0"/>
        <v>0</v>
      </c>
      <c r="T9" s="652">
        <f t="shared" si="0"/>
        <v>70</v>
      </c>
      <c r="U9" s="560">
        <f t="shared" si="0"/>
        <v>2.5637472000000003</v>
      </c>
      <c r="V9" s="652">
        <f t="shared" si="0"/>
        <v>0</v>
      </c>
      <c r="W9" s="560">
        <f t="shared" si="0"/>
        <v>0</v>
      </c>
    </row>
    <row r="10" spans="1:23" ht="30" customHeight="1">
      <c r="B10" s="2"/>
      <c r="C10" s="2"/>
      <c r="D10" s="5"/>
      <c r="E10" s="5"/>
      <c r="F10" s="721"/>
      <c r="G10" s="721"/>
      <c r="H10" s="721"/>
      <c r="I10" s="721"/>
      <c r="J10" s="721"/>
      <c r="K10" s="721"/>
      <c r="L10" s="721"/>
      <c r="M10" s="721"/>
      <c r="N10" s="721"/>
      <c r="O10" s="721"/>
      <c r="P10" s="721"/>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4.45"/>
    <row r="28" ht="14.45"/>
    <row r="29" ht="14.45"/>
    <row r="30" ht="14.45"/>
    <row r="31" ht="14.45"/>
    <row r="32" ht="14.45"/>
    <row r="33" ht="14.45"/>
    <row r="34" ht="14.45"/>
    <row r="35" ht="14.45"/>
    <row r="36" ht="14.45"/>
    <row r="37" ht="14.45"/>
    <row r="38" ht="14.45"/>
    <row r="39" ht="89.45" customHeight="1"/>
    <row r="40" ht="14.45"/>
    <row r="41" ht="14.45"/>
    <row r="42" ht="14.45"/>
    <row r="43" ht="14.45"/>
    <row r="44" ht="14.45"/>
    <row r="45" ht="14.45"/>
    <row r="46" ht="14.45"/>
    <row r="47" ht="14.45"/>
    <row r="48" ht="14.45"/>
    <row r="49" ht="14.45"/>
    <row r="50" ht="14.45"/>
    <row r="51" ht="14.45"/>
    <row r="52" ht="18.600000000000001" customHeight="1"/>
    <row r="53" ht="14.45" hidden="1"/>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c r="B1" s="254"/>
      <c r="C1" s="254"/>
      <c r="E1" s="255"/>
      <c r="F1" s="725"/>
      <c r="G1" s="725"/>
      <c r="H1" s="725"/>
      <c r="I1" s="725"/>
      <c r="J1" s="725"/>
      <c r="K1" s="726"/>
      <c r="L1" s="726"/>
      <c r="M1" s="726"/>
      <c r="N1" s="726"/>
      <c r="O1" s="726"/>
    </row>
    <row r="2" spans="1:18" ht="15.75" customHeight="1">
      <c r="B2" s="254"/>
      <c r="C2" s="254"/>
      <c r="E2" s="255"/>
    </row>
    <row r="3" spans="1:18" ht="15.75" customHeight="1">
      <c r="A3" s="255"/>
      <c r="B3" s="255"/>
      <c r="C3" s="255"/>
      <c r="D3" s="255"/>
      <c r="E3" s="255"/>
      <c r="F3" s="256"/>
      <c r="G3" s="256"/>
      <c r="H3" s="256"/>
      <c r="I3" s="256"/>
      <c r="J3" s="256"/>
      <c r="K3" s="256"/>
      <c r="L3" s="256"/>
      <c r="M3" s="256"/>
      <c r="N3" s="256"/>
      <c r="O3" s="256"/>
      <c r="P3" s="256"/>
    </row>
    <row r="4" spans="1:18" ht="16.5" customHeight="1">
      <c r="A4" s="255"/>
      <c r="B4" s="255"/>
      <c r="C4" s="255"/>
      <c r="D4" s="255"/>
      <c r="E4" s="255"/>
      <c r="F4" s="256"/>
      <c r="G4" s="256"/>
      <c r="H4" s="256"/>
      <c r="I4" s="256"/>
      <c r="J4" s="256"/>
      <c r="K4" s="256"/>
      <c r="L4" s="256"/>
      <c r="M4" s="256"/>
      <c r="N4" s="256"/>
      <c r="O4" s="256"/>
      <c r="P4" s="256"/>
    </row>
    <row r="5" spans="1:18" ht="16.5" customHeight="1">
      <c r="A5" s="255"/>
      <c r="B5" s="255"/>
      <c r="C5" s="255"/>
      <c r="D5" s="255"/>
      <c r="E5" s="255"/>
      <c r="F5" s="257"/>
      <c r="G5" s="257"/>
      <c r="H5" s="257"/>
      <c r="I5" s="257"/>
      <c r="J5" s="257"/>
      <c r="K5" s="257"/>
      <c r="L5" s="257"/>
      <c r="M5" s="257"/>
      <c r="N5" s="257"/>
      <c r="O5" s="257"/>
      <c r="P5" s="257"/>
      <c r="Q5" s="257"/>
      <c r="R5" s="257"/>
    </row>
    <row r="6" spans="1:18" ht="16.5" customHeight="1">
      <c r="B6" s="254"/>
      <c r="C6" s="254"/>
      <c r="D6" s="255"/>
      <c r="E6" s="255"/>
      <c r="F6" s="257"/>
      <c r="G6" s="257"/>
      <c r="H6" s="257"/>
      <c r="I6" s="257"/>
      <c r="J6" s="257"/>
      <c r="K6" s="257"/>
      <c r="L6" s="257"/>
      <c r="M6" s="257"/>
      <c r="N6" s="257"/>
      <c r="O6" s="257"/>
      <c r="P6" s="257"/>
      <c r="Q6" s="257"/>
      <c r="R6" s="257"/>
    </row>
    <row r="7" spans="1:18" ht="16.5" customHeight="1">
      <c r="B7" s="254"/>
      <c r="C7" s="255"/>
      <c r="D7" s="255"/>
      <c r="E7" s="255"/>
      <c r="F7" s="257"/>
      <c r="G7" s="257"/>
      <c r="H7" s="257"/>
      <c r="I7" s="257"/>
      <c r="J7" s="257"/>
      <c r="K7" s="257"/>
      <c r="L7" s="257"/>
      <c r="M7" s="257"/>
      <c r="N7" s="257"/>
      <c r="O7" s="257"/>
      <c r="P7" s="257"/>
      <c r="Q7" s="257"/>
      <c r="R7" s="257"/>
    </row>
    <row r="8" spans="1:18" ht="16.5" customHeight="1">
      <c r="B8" s="254"/>
      <c r="C8" s="254"/>
      <c r="D8" s="255"/>
      <c r="E8" s="255"/>
      <c r="F8" s="257"/>
      <c r="G8" s="257"/>
      <c r="H8" s="257"/>
      <c r="I8" s="257"/>
      <c r="J8" s="257"/>
      <c r="K8" s="257"/>
      <c r="L8" s="257"/>
      <c r="M8" s="257"/>
      <c r="N8" s="257"/>
      <c r="O8" s="257"/>
      <c r="P8" s="257"/>
      <c r="Q8" s="257"/>
      <c r="R8" s="257"/>
    </row>
    <row r="9" spans="1:18" ht="16.5" customHeight="1">
      <c r="B9" s="254"/>
      <c r="C9" s="254"/>
      <c r="D9" s="258"/>
      <c r="E9" s="258"/>
      <c r="F9" s="257"/>
      <c r="G9" s="257"/>
      <c r="H9" s="257"/>
      <c r="I9" s="257"/>
      <c r="J9" s="257"/>
      <c r="K9" s="257"/>
      <c r="L9" s="257"/>
      <c r="M9" s="257"/>
      <c r="N9" s="257"/>
      <c r="O9" s="257"/>
      <c r="P9" s="257"/>
      <c r="Q9" s="257"/>
      <c r="R9" s="257"/>
    </row>
    <row r="10" spans="1:18" ht="30" customHeight="1">
      <c r="B10" s="254"/>
      <c r="C10" s="254"/>
      <c r="D10" s="727"/>
      <c r="E10" s="727"/>
      <c r="F10" s="727"/>
      <c r="G10" s="727"/>
      <c r="H10" s="727"/>
      <c r="I10" s="727"/>
      <c r="J10" s="727"/>
      <c r="K10" s="727"/>
      <c r="L10" s="727"/>
      <c r="M10" s="727"/>
    </row>
    <row r="11" spans="1:18" ht="16.5" customHeight="1">
      <c r="B11" s="254"/>
      <c r="C11" s="254"/>
    </row>
    <row r="12" spans="1:18" ht="16.5" customHeight="1">
      <c r="B12" s="254"/>
      <c r="C12" s="254"/>
    </row>
    <row r="13" spans="1:18" ht="16.5" customHeight="1">
      <c r="B13" s="254"/>
      <c r="C13" s="254"/>
    </row>
    <row r="14" spans="1:18" ht="16.5" customHeight="1">
      <c r="B14" s="254"/>
      <c r="C14" s="254"/>
    </row>
    <row r="15" spans="1:18" ht="16.5" customHeight="1">
      <c r="B15" s="254"/>
      <c r="C15" s="25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3.9"/>
    <row r="28" ht="13.9"/>
    <row r="29" ht="13.9"/>
    <row r="30" ht="13.9"/>
    <row r="31" ht="13.9"/>
    <row r="32" ht="13.9"/>
    <row r="33" ht="13.9"/>
    <row r="34" ht="13.9"/>
    <row r="35" ht="13.9"/>
    <row r="36" ht="13.9"/>
    <row r="37" ht="13.9"/>
    <row r="38" ht="13.9"/>
    <row r="39" ht="13.9"/>
    <row r="40" ht="13.9"/>
    <row r="41" ht="13.9"/>
    <row r="42" ht="13.9"/>
    <row r="43" ht="13.9"/>
    <row r="44" ht="13.9"/>
    <row r="45" ht="13.9"/>
    <row r="46" ht="13.9"/>
    <row r="47" ht="13.9"/>
    <row r="48" ht="13.9"/>
    <row r="49" ht="13.9"/>
    <row r="50" ht="13.9"/>
    <row r="51" ht="13.9"/>
    <row r="52" ht="13.9"/>
    <row r="53" ht="13.9" hidden="1"/>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Normal="100" workbookViewId="0">
      <selection activeCell="F109" sqref="F109"/>
    </sheetView>
  </sheetViews>
  <sheetFormatPr defaultColWidth="0" defaultRowHeight="13.9" zeroHeight="1"/>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row r="2" spans="2:22" ht="19.149999999999999" customHeight="1" thickBot="1">
      <c r="B2" s="743" t="str">
        <f>IF(Start!$F$12="","",Start!$F$12)</f>
        <v>Lea Castle Farm</v>
      </c>
      <c r="C2" s="744"/>
      <c r="D2" s="745"/>
    </row>
    <row r="3" spans="2:22" ht="15.75" customHeight="1">
      <c r="B3" s="728" t="e">
        <f ca="1">MID(CELL("filename",A1),FIND("]",CELL("filename",A1))+1,256)</f>
        <v>#VALUE!</v>
      </c>
      <c r="C3" s="729"/>
      <c r="D3" s="730"/>
    </row>
    <row r="4" spans="2:22" ht="15.75" customHeight="1" thickBot="1">
      <c r="B4" s="731"/>
      <c r="C4" s="732"/>
      <c r="D4" s="733"/>
    </row>
    <row r="5" spans="2:22" ht="9.9499999999999993" customHeight="1"/>
    <row r="6" spans="2:22" ht="9.9499999999999993" customHeight="1">
      <c r="B6" s="734"/>
      <c r="C6" s="734"/>
      <c r="K6" s="23"/>
      <c r="L6" s="23"/>
      <c r="M6" s="23"/>
      <c r="N6" s="23"/>
    </row>
    <row r="7" spans="2:22" ht="9.9499999999999993" customHeight="1" thickBot="1">
      <c r="B7" s="24"/>
      <c r="C7" s="24"/>
      <c r="K7" s="23"/>
      <c r="L7" s="23"/>
      <c r="M7" s="23"/>
      <c r="N7" s="23"/>
      <c r="O7" s="25"/>
      <c r="Q7" s="25"/>
      <c r="R7" s="25"/>
    </row>
    <row r="8" spans="2:22" ht="21.95" customHeight="1">
      <c r="B8" s="735" t="s">
        <v>28</v>
      </c>
      <c r="C8" s="736"/>
      <c r="D8" s="736"/>
      <c r="E8" s="736"/>
      <c r="F8" s="741" t="s">
        <v>29</v>
      </c>
      <c r="G8" s="742"/>
      <c r="H8" s="746">
        <f>IFERROR('A-1 Site Habitat Baseline'!Q259,"Check Data ⚠")</f>
        <v>115.93331999999999</v>
      </c>
      <c r="I8" s="747"/>
      <c r="J8" s="26"/>
      <c r="K8" s="23"/>
      <c r="L8" s="23"/>
      <c r="M8" s="23"/>
      <c r="N8" s="23"/>
      <c r="O8" s="25"/>
      <c r="P8" s="25"/>
      <c r="Q8" s="25"/>
      <c r="R8" s="25"/>
      <c r="S8" s="25"/>
    </row>
    <row r="9" spans="2:22" ht="21.95" customHeight="1">
      <c r="B9" s="737"/>
      <c r="C9" s="738"/>
      <c r="D9" s="738"/>
      <c r="E9" s="738"/>
      <c r="F9" s="748" t="s">
        <v>30</v>
      </c>
      <c r="G9" s="749"/>
      <c r="H9" s="750">
        <f>IFERROR('B-1 Site Hedge Baseline'!N258,"Check Data ⚠")</f>
        <v>2.7359999999999998</v>
      </c>
      <c r="I9" s="751"/>
      <c r="K9" s="23"/>
      <c r="L9" s="23"/>
      <c r="M9" s="23"/>
      <c r="N9" s="23"/>
    </row>
    <row r="10" spans="2:22" ht="21.95" customHeight="1" thickBot="1">
      <c r="B10" s="739"/>
      <c r="C10" s="740"/>
      <c r="D10" s="740"/>
      <c r="E10" s="740"/>
      <c r="F10" s="752" t="s">
        <v>31</v>
      </c>
      <c r="G10" s="753"/>
      <c r="H10" s="754">
        <f>'C-1 Site River Baseline'!R258</f>
        <v>0</v>
      </c>
      <c r="I10" s="755"/>
      <c r="K10" s="23"/>
      <c r="L10" s="23"/>
      <c r="M10" s="23"/>
      <c r="N10" s="23"/>
    </row>
    <row r="11" spans="2:22" ht="4.5" customHeight="1" thickBot="1">
      <c r="H11" s="311"/>
      <c r="I11" s="311"/>
      <c r="K11" s="23"/>
      <c r="L11" s="23"/>
      <c r="M11" s="23"/>
      <c r="N11" s="23"/>
    </row>
    <row r="12" spans="2:22" ht="21.95" customHeight="1">
      <c r="B12" s="735" t="s">
        <v>32</v>
      </c>
      <c r="C12" s="736"/>
      <c r="D12" s="736"/>
      <c r="E12" s="758"/>
      <c r="F12" s="741" t="s">
        <v>29</v>
      </c>
      <c r="G12" s="742"/>
      <c r="H12" s="761">
        <f ca="1">IFERROR('A-2 Site Habitat Creation'!Y257+'A-3 Site Habitat Enhancement'!AN258+'A-1 Site Habitat Baseline'!U259,"Check Data ⚠")</f>
        <v>161.51210806798909</v>
      </c>
      <c r="I12" s="762"/>
      <c r="K12" s="23"/>
      <c r="L12" s="23"/>
      <c r="M12" s="23"/>
      <c r="N12" s="23"/>
      <c r="U12" s="734"/>
      <c r="V12" s="734"/>
    </row>
    <row r="13" spans="2:22" ht="21.95" customHeight="1">
      <c r="B13" s="737"/>
      <c r="C13" s="738"/>
      <c r="D13" s="738"/>
      <c r="E13" s="759"/>
      <c r="F13" s="748" t="s">
        <v>30</v>
      </c>
      <c r="G13" s="749"/>
      <c r="H13" s="763">
        <f ca="1">IFERROR('B-2 Site Hedge Creation'!W260+'B-3 Site Hedge Enhancement'!AH258+'B-1 Site Hedge Baseline'!R258,"Check Data⚠")</f>
        <v>5.6775778011852003</v>
      </c>
      <c r="I13" s="764"/>
      <c r="K13" s="23"/>
      <c r="L13" s="23"/>
      <c r="M13" s="23"/>
      <c r="N13" s="23"/>
      <c r="U13" s="734"/>
      <c r="V13" s="734"/>
    </row>
    <row r="14" spans="2:22" ht="21.95" customHeight="1" thickBot="1">
      <c r="B14" s="739"/>
      <c r="C14" s="740"/>
      <c r="D14" s="740"/>
      <c r="E14" s="760"/>
      <c r="F14" s="752" t="s">
        <v>31</v>
      </c>
      <c r="G14" s="753"/>
      <c r="H14" s="754">
        <f>IFERROR('C-2 Site River Creation'!Z260 + 'C-3 Site River Enhancement'!AM258+'C-1 Site River Baseline'!V258,"Check Data ⚠")</f>
        <v>0</v>
      </c>
      <c r="I14" s="755"/>
      <c r="K14" s="23"/>
      <c r="L14" s="23"/>
      <c r="M14" s="23"/>
      <c r="N14" s="23"/>
    </row>
    <row r="15" spans="2:22" ht="4.5" customHeight="1" thickBot="1">
      <c r="B15" s="453"/>
      <c r="C15" s="453"/>
      <c r="D15" s="453"/>
      <c r="E15" s="453"/>
      <c r="F15" s="454"/>
      <c r="G15" s="454"/>
      <c r="H15" s="455"/>
      <c r="I15" s="455"/>
      <c r="K15" s="23"/>
      <c r="L15" s="23"/>
      <c r="M15" s="23"/>
      <c r="N15" s="23"/>
    </row>
    <row r="16" spans="2:22" ht="21.95" customHeight="1">
      <c r="B16" s="735" t="s">
        <v>33</v>
      </c>
      <c r="C16" s="736"/>
      <c r="D16" s="736"/>
      <c r="E16" s="758"/>
      <c r="F16" s="741" t="s">
        <v>29</v>
      </c>
      <c r="G16" s="742"/>
      <c r="H16" s="781">
        <f ca="1">IF(H8=0,0,IF(AND(H8=0,H12&gt;0),1,IFERROR((H12/H8)-1,"Check Data ⚠")))</f>
        <v>0.39314657829163435</v>
      </c>
      <c r="I16" s="782"/>
      <c r="J16" s="456"/>
      <c r="K16" s="23"/>
      <c r="L16" s="23"/>
      <c r="M16" s="23"/>
      <c r="N16" s="23"/>
    </row>
    <row r="17" spans="2:14" ht="21.95" customHeight="1">
      <c r="B17" s="737"/>
      <c r="C17" s="738"/>
      <c r="D17" s="738"/>
      <c r="E17" s="759"/>
      <c r="F17" s="748" t="s">
        <v>30</v>
      </c>
      <c r="G17" s="749"/>
      <c r="H17" s="783">
        <f ca="1">IF(H9=0,0,IF(AND(H9=0,H13&gt;0),1,IFERROR((H13/H9)-1,"Check Data ⚠")))</f>
        <v>1.0751380852285091</v>
      </c>
      <c r="I17" s="784"/>
      <c r="K17" s="23"/>
      <c r="L17" s="23"/>
      <c r="M17" s="23"/>
      <c r="N17" s="23"/>
    </row>
    <row r="18" spans="2:14" ht="21.95" customHeight="1" thickBot="1">
      <c r="B18" s="739"/>
      <c r="C18" s="740"/>
      <c r="D18" s="740"/>
      <c r="E18" s="760"/>
      <c r="F18" s="752" t="s">
        <v>31</v>
      </c>
      <c r="G18" s="785"/>
      <c r="H18" s="786">
        <f>IF(H10=0,0,IF(AND(H10=0,H14&gt;0),1,IFERROR((H14/H10)-1,"Check Data ⚠")))</f>
        <v>0</v>
      </c>
      <c r="I18" s="787"/>
      <c r="K18" s="23"/>
      <c r="L18" s="23"/>
      <c r="M18" s="23"/>
      <c r="N18" s="23"/>
    </row>
    <row r="19" spans="2:14" ht="24.95" customHeight="1" thickBot="1">
      <c r="H19" s="311"/>
      <c r="I19" s="311"/>
      <c r="K19" s="23"/>
      <c r="L19" s="23"/>
      <c r="M19" s="23"/>
      <c r="N19" s="23"/>
    </row>
    <row r="20" spans="2:14" ht="21.95" customHeight="1">
      <c r="B20" s="735" t="s">
        <v>34</v>
      </c>
      <c r="C20" s="736"/>
      <c r="D20" s="736"/>
      <c r="E20" s="736"/>
      <c r="F20" s="741" t="s">
        <v>29</v>
      </c>
      <c r="G20" s="742"/>
      <c r="H20" s="765">
        <f>IFERROR('D-1 Off Site Habitat Baseline'!Q259,"Check Data ⚠")</f>
        <v>0</v>
      </c>
      <c r="I20" s="766"/>
      <c r="K20" s="23"/>
      <c r="L20" s="23"/>
      <c r="M20" s="23"/>
      <c r="N20" s="23"/>
    </row>
    <row r="21" spans="2:14" ht="21.95" customHeight="1">
      <c r="B21" s="737"/>
      <c r="C21" s="738"/>
      <c r="D21" s="738"/>
      <c r="E21" s="738"/>
      <c r="F21" s="748" t="s">
        <v>30</v>
      </c>
      <c r="G21" s="749"/>
      <c r="H21" s="767">
        <f>IFERROR('E-1 Off Site Hedge Baseline'!N258,"Check Data ⚠")</f>
        <v>0</v>
      </c>
      <c r="I21" s="768"/>
      <c r="K21" s="23"/>
      <c r="L21" s="23"/>
      <c r="M21" s="23"/>
      <c r="N21" s="23"/>
    </row>
    <row r="22" spans="2:14" ht="21.95" customHeight="1" thickBot="1">
      <c r="B22" s="739"/>
      <c r="C22" s="740"/>
      <c r="D22" s="740"/>
      <c r="E22" s="740"/>
      <c r="F22" s="752" t="s">
        <v>31</v>
      </c>
      <c r="G22" s="753"/>
      <c r="H22" s="756">
        <f>IFERROR('F-1 Off Site River Baseline'!R258,"Check Data ⚠")</f>
        <v>0</v>
      </c>
      <c r="I22" s="757"/>
      <c r="K22" s="23"/>
      <c r="L22" s="23"/>
      <c r="M22" s="23"/>
      <c r="N22" s="23"/>
    </row>
    <row r="23" spans="2:14" ht="4.5" customHeight="1" thickBot="1">
      <c r="H23" s="311"/>
      <c r="I23" s="311"/>
      <c r="K23" s="23"/>
      <c r="L23" s="23"/>
      <c r="M23" s="23"/>
      <c r="N23" s="23"/>
    </row>
    <row r="24" spans="2:14" ht="21.95" customHeight="1">
      <c r="B24" s="735" t="s">
        <v>35</v>
      </c>
      <c r="C24" s="736"/>
      <c r="D24" s="736"/>
      <c r="E24" s="758"/>
      <c r="F24" s="741" t="s">
        <v>29</v>
      </c>
      <c r="G24" s="742"/>
      <c r="H24" s="761">
        <f>IFERROR('D-1 Off Site Habitat Baseline'!$U$259+'D-2 Off Site Habitat Creation'!AA257+'D-3 Off Site Habitat Enhancment'!AP259,"Check Data ⚠")</f>
        <v>0</v>
      </c>
      <c r="I24" s="762"/>
      <c r="K24" s="23"/>
      <c r="L24" s="23"/>
      <c r="M24" s="23"/>
      <c r="N24" s="23"/>
    </row>
    <row r="25" spans="2:14" ht="21.95" customHeight="1">
      <c r="B25" s="737"/>
      <c r="C25" s="738"/>
      <c r="D25" s="738"/>
      <c r="E25" s="759"/>
      <c r="F25" s="748" t="s">
        <v>30</v>
      </c>
      <c r="G25" s="749"/>
      <c r="H25" s="769">
        <f>IFERROR('E-1 Off Site Hedge Baseline'!R258+'E-2 Off Site Hedge Creation'!Y260+'E-3 Off Site Hedge Enhancement'!AJ258,"Check Data ⚠")</f>
        <v>0</v>
      </c>
      <c r="I25" s="764"/>
      <c r="K25" s="23"/>
      <c r="L25" s="23"/>
      <c r="M25" s="23"/>
      <c r="N25" s="23"/>
    </row>
    <row r="26" spans="2:14" ht="21.95" customHeight="1" thickBot="1">
      <c r="B26" s="739"/>
      <c r="C26" s="740"/>
      <c r="D26" s="740"/>
      <c r="E26" s="760"/>
      <c r="F26" s="752" t="s">
        <v>31</v>
      </c>
      <c r="G26" s="753"/>
      <c r="H26" s="754">
        <f>IFERROR('F-1 Off Site River Baseline'!V258+'F-2 Off Site River Creation'!AB260+'F-3 Off Site River Enhancement'!AO258,"Check Data ⚠")</f>
        <v>0</v>
      </c>
      <c r="I26" s="755"/>
      <c r="K26" s="23"/>
      <c r="L26" s="23"/>
      <c r="M26" s="23"/>
      <c r="N26" s="23"/>
    </row>
    <row r="27" spans="2:14" ht="24.95" customHeight="1" thickBot="1">
      <c r="H27" s="311"/>
      <c r="I27" s="311"/>
      <c r="K27" s="23"/>
      <c r="L27" s="23"/>
      <c r="M27" s="23"/>
      <c r="N27" s="23"/>
    </row>
    <row r="28" spans="2:14" ht="21.95" customHeight="1">
      <c r="B28" s="735" t="s">
        <v>36</v>
      </c>
      <c r="C28" s="736"/>
      <c r="D28" s="736"/>
      <c r="E28" s="758"/>
      <c r="F28" s="741" t="s">
        <v>29</v>
      </c>
      <c r="G28" s="742"/>
      <c r="H28" s="761">
        <f ca="1">IFERROR((H12-H8)+((H24-H20)),"Check Data ⚠")</f>
        <v>45.578788067989095</v>
      </c>
      <c r="I28" s="762"/>
      <c r="J28" s="776"/>
      <c r="K28" s="777"/>
      <c r="L28" s="23"/>
      <c r="M28" s="23"/>
      <c r="N28" s="23"/>
    </row>
    <row r="29" spans="2:14" ht="21.95" customHeight="1">
      <c r="B29" s="737"/>
      <c r="C29" s="738"/>
      <c r="D29" s="738"/>
      <c r="E29" s="759"/>
      <c r="F29" s="748" t="s">
        <v>30</v>
      </c>
      <c r="G29" s="749"/>
      <c r="H29" s="769">
        <f ca="1">IFERROR((H13-H9)+((H25-H21)),"Check Data ⚠")</f>
        <v>2.9415778011852005</v>
      </c>
      <c r="I29" s="764"/>
      <c r="J29" s="776"/>
      <c r="K29" s="777"/>
      <c r="L29" s="23"/>
      <c r="M29" s="23"/>
      <c r="N29" s="23"/>
    </row>
    <row r="30" spans="2:14" ht="21.95" customHeight="1" thickBot="1">
      <c r="B30" s="739"/>
      <c r="C30" s="740"/>
      <c r="D30" s="740"/>
      <c r="E30" s="760"/>
      <c r="F30" s="752" t="s">
        <v>31</v>
      </c>
      <c r="G30" s="753"/>
      <c r="H30" s="754">
        <f>IFERROR((H14-H10)+((H26-H22)),"Check Data ⚠")</f>
        <v>0</v>
      </c>
      <c r="I30" s="755"/>
      <c r="J30" s="776"/>
      <c r="K30" s="777"/>
      <c r="L30" s="23"/>
      <c r="M30" s="23"/>
      <c r="N30" s="23"/>
    </row>
    <row r="31" spans="2:14" ht="4.5" customHeight="1" thickBot="1">
      <c r="H31" s="312"/>
      <c r="I31" s="312"/>
      <c r="K31" s="23"/>
      <c r="L31" s="23"/>
      <c r="M31" s="23"/>
      <c r="N31" s="23"/>
    </row>
    <row r="32" spans="2:14" ht="21.95" customHeight="1">
      <c r="B32" s="735" t="s">
        <v>37</v>
      </c>
      <c r="C32" s="736"/>
      <c r="D32" s="736"/>
      <c r="E32" s="758"/>
      <c r="F32" s="741" t="s">
        <v>29</v>
      </c>
      <c r="G32" s="742"/>
      <c r="H32" s="781">
        <f ca="1">IF(H28=0,0,IF(AND(H8=0,H20=0,H28&gt;0),1,IFERROR((H28/H8),"Check Data ⚠")))</f>
        <v>0.39314657829163435</v>
      </c>
      <c r="I32" s="782"/>
      <c r="J32" s="776"/>
      <c r="K32" s="777"/>
      <c r="L32" s="23"/>
      <c r="M32" s="23"/>
      <c r="N32" s="23"/>
    </row>
    <row r="33" spans="1:33" ht="21.95" customHeight="1">
      <c r="A33" s="27"/>
      <c r="B33" s="737"/>
      <c r="C33" s="738"/>
      <c r="D33" s="738"/>
      <c r="E33" s="759"/>
      <c r="F33" s="748" t="s">
        <v>30</v>
      </c>
      <c r="G33" s="749"/>
      <c r="H33" s="783">
        <f ca="1">IF(H29=0,0,IF(AND(H9=0,H21=0,H29&gt;0),1,IFERROR((H29/H9),"Check Data ⚠")))</f>
        <v>1.0751380852285091</v>
      </c>
      <c r="I33" s="784"/>
      <c r="J33" s="776"/>
      <c r="K33" s="777"/>
      <c r="L33" s="23"/>
      <c r="M33" s="23"/>
      <c r="N33" s="23"/>
    </row>
    <row r="34" spans="1:33" ht="21.95" customHeight="1" thickBot="1">
      <c r="A34" s="27"/>
      <c r="B34" s="739"/>
      <c r="C34" s="740"/>
      <c r="D34" s="740"/>
      <c r="E34" s="760"/>
      <c r="F34" s="752" t="s">
        <v>31</v>
      </c>
      <c r="G34" s="785"/>
      <c r="H34" s="786">
        <f>IF(H30=0,0,IF(AND(H10=0,H22=0,H30&gt;0),1,IFERROR((H30/H10),"Check Data ⚠")))</f>
        <v>0</v>
      </c>
      <c r="I34" s="787"/>
      <c r="J34" s="778"/>
      <c r="K34" s="779"/>
      <c r="L34" s="23"/>
      <c r="M34" s="23"/>
      <c r="N34" s="23"/>
    </row>
    <row r="35" spans="1:33" ht="24.95" customHeight="1" thickBot="1">
      <c r="B35" s="780"/>
      <c r="C35" s="780"/>
      <c r="D35" s="780"/>
      <c r="F35" s="28"/>
      <c r="G35" s="28"/>
      <c r="H35" s="28"/>
      <c r="I35" s="28"/>
      <c r="J35" s="28"/>
      <c r="K35" s="28"/>
      <c r="L35" s="28"/>
      <c r="M35" s="28"/>
    </row>
    <row r="36" spans="1:33" s="29" customFormat="1" ht="38.25" customHeight="1" thickBot="1">
      <c r="B36" s="770" t="s">
        <v>38</v>
      </c>
      <c r="C36" s="771"/>
      <c r="D36" s="771"/>
      <c r="E36" s="772"/>
      <c r="F36" s="773" t="str">
        <f ca="1">IF(OR('Trading Summary'!G5="No ▲",'Trading Summary'!G6="No ▲",'Trading Summary'!G7="No ▲",'Trading Summary'!G8="No ▲"),"No - Check Trading Summary ▲","Yes ✓")</f>
        <v>Yes ✓</v>
      </c>
      <c r="G36" s="774"/>
      <c r="H36" s="774"/>
      <c r="I36" s="775"/>
      <c r="J36" s="30"/>
      <c r="K36" s="30"/>
      <c r="L36" s="30"/>
      <c r="M36" s="30"/>
      <c r="N36" s="22"/>
      <c r="O36" s="22"/>
      <c r="P36" s="22"/>
      <c r="Q36" s="22"/>
      <c r="X36" s="22"/>
      <c r="Y36" s="22"/>
      <c r="Z36" s="22"/>
      <c r="AA36" s="22"/>
      <c r="AB36" s="22"/>
      <c r="AC36" s="22"/>
      <c r="AD36" s="22"/>
      <c r="AE36" s="22"/>
      <c r="AF36" s="22"/>
      <c r="AG36" s="22"/>
    </row>
    <row r="37" spans="1:33" ht="15.6">
      <c r="B37" s="30"/>
      <c r="C37" s="30"/>
      <c r="D37" s="30"/>
      <c r="E37" s="30"/>
      <c r="F37" s="30"/>
      <c r="G37" s="30"/>
      <c r="H37" s="30"/>
      <c r="I37" s="30"/>
      <c r="J37" s="30"/>
      <c r="K37" s="30"/>
      <c r="L37" s="30"/>
      <c r="M37" s="30"/>
      <c r="X37" s="29"/>
      <c r="Y37" s="29"/>
      <c r="Z37" s="29"/>
      <c r="AA37" s="29"/>
      <c r="AB37" s="29"/>
    </row>
    <row r="38" spans="1:33" ht="15.6">
      <c r="B38" s="30"/>
      <c r="C38" s="30"/>
      <c r="D38" s="30"/>
      <c r="E38" s="30"/>
      <c r="F38" s="30"/>
      <c r="G38" s="30"/>
      <c r="H38" s="30"/>
      <c r="I38" s="30"/>
      <c r="J38" s="30"/>
      <c r="K38" s="30"/>
      <c r="L38" s="30"/>
      <c r="M38" s="30"/>
      <c r="X38" s="29"/>
      <c r="Y38" s="29"/>
      <c r="Z38" s="29"/>
      <c r="AA38" s="29"/>
      <c r="AB38" s="29"/>
    </row>
    <row r="39" spans="1:33" ht="15.6" hidden="1">
      <c r="B39" s="30"/>
      <c r="C39" s="30"/>
      <c r="D39" s="30"/>
      <c r="E39" s="30"/>
      <c r="F39" s="30"/>
      <c r="G39" s="30"/>
      <c r="H39" s="30"/>
      <c r="I39" s="30"/>
      <c r="J39" s="30"/>
      <c r="K39" s="30"/>
      <c r="L39" s="30"/>
      <c r="M39" s="30"/>
      <c r="X39" s="29"/>
      <c r="Y39" s="29"/>
      <c r="Z39" s="29"/>
      <c r="AA39" s="29"/>
      <c r="AB39" s="29"/>
    </row>
    <row r="40" spans="1:33" ht="15.75" hidden="1" customHeight="1"/>
    <row r="46" spans="1:33" ht="15.75" hidden="1" customHeight="1"/>
    <row r="47" spans="1:33" ht="15.75" hidden="1" customHeight="1"/>
    <row r="48" spans="1:33"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90" ht="21.6" hidden="1" customHeight="1"/>
    <row r="103" ht="64.900000000000006" hidden="1" customHeight="1"/>
    <row r="106" ht="29.45" hidden="1" customHeight="1"/>
    <row r="109"/>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3" zoomScale="90" zoomScaleNormal="90" workbookViewId="0">
      <selection activeCell="B37" sqref="B37"/>
    </sheetView>
  </sheetViews>
  <sheetFormatPr defaultColWidth="8.85546875" defaultRowHeight="13.9"/>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row r="2" spans="2:19" ht="22.15" customHeight="1" thickBot="1">
      <c r="B2" s="832" t="str">
        <f>IF(Start!$F$12="","",Start!$F$12)</f>
        <v>Lea Castle Farm</v>
      </c>
      <c r="C2" s="833"/>
      <c r="D2" s="834"/>
    </row>
    <row r="3" spans="2:19" ht="19.899999999999999" customHeight="1">
      <c r="B3" s="728" t="e">
        <f ca="1">MID(CELL("filename",A1),FIND("]",CELL("filename",A1))+1,256)</f>
        <v>#VALUE!</v>
      </c>
      <c r="C3" s="729"/>
      <c r="D3" s="730"/>
    </row>
    <row r="4" spans="2:19" ht="21.6" customHeight="1" thickBot="1">
      <c r="B4" s="731"/>
      <c r="C4" s="732"/>
      <c r="D4" s="733"/>
    </row>
    <row r="5" spans="2:19" ht="15.75" customHeight="1"/>
    <row r="6" spans="2:19" ht="25.5" customHeight="1" thickBot="1"/>
    <row r="7" spans="2:19" ht="18.75" customHeight="1">
      <c r="B7" s="839" t="s">
        <v>39</v>
      </c>
      <c r="C7" s="840"/>
    </row>
    <row r="8" spans="2:19" ht="20.25" customHeight="1" thickBot="1">
      <c r="B8" s="841"/>
      <c r="C8" s="842"/>
    </row>
    <row r="9" spans="2:19" ht="15.75" customHeight="1" thickBot="1">
      <c r="B9" s="32"/>
      <c r="C9" s="32"/>
      <c r="O9" s="33"/>
      <c r="Q9" s="33"/>
      <c r="R9" s="33"/>
    </row>
    <row r="10" spans="2:19" ht="18" customHeight="1">
      <c r="B10" s="735" t="s">
        <v>40</v>
      </c>
      <c r="C10" s="736"/>
      <c r="D10" s="736"/>
      <c r="E10" s="758"/>
      <c r="F10" s="845" t="s">
        <v>29</v>
      </c>
      <c r="G10" s="846"/>
      <c r="H10" s="843">
        <f ca="1">IFERROR('Headline Results'!$H$28:$I$28,"Check Data ⚠")</f>
        <v>45.578788067989095</v>
      </c>
      <c r="I10" s="844"/>
      <c r="J10" s="34"/>
      <c r="O10" s="33"/>
      <c r="P10" s="33"/>
      <c r="Q10" s="33"/>
      <c r="R10" s="33"/>
      <c r="S10" s="33"/>
    </row>
    <row r="11" spans="2:19" ht="15.75" customHeight="1">
      <c r="B11" s="737"/>
      <c r="C11" s="738"/>
      <c r="D11" s="738"/>
      <c r="E11" s="759"/>
      <c r="F11" s="849" t="s">
        <v>30</v>
      </c>
      <c r="G11" s="856"/>
      <c r="H11" s="854">
        <f ca="1">IFERROR('Headline Results'!$H$29:$I$29,"Check Data ⚠")</f>
        <v>2.9415778011852005</v>
      </c>
      <c r="I11" s="855"/>
    </row>
    <row r="12" spans="2:19" ht="18.600000000000001" customHeight="1" thickBot="1">
      <c r="B12" s="739"/>
      <c r="C12" s="740"/>
      <c r="D12" s="740"/>
      <c r="E12" s="760"/>
      <c r="F12" s="835" t="s">
        <v>31</v>
      </c>
      <c r="G12" s="836"/>
      <c r="H12" s="837">
        <f>IFERROR('Headline Results'!$H$30:$I$30,"Check Data ⚠")</f>
        <v>0</v>
      </c>
      <c r="I12" s="838"/>
    </row>
    <row r="13" spans="2:19" ht="15.75" customHeight="1" thickBot="1"/>
    <row r="14" spans="2:19" ht="18.75" customHeight="1">
      <c r="B14" s="735" t="s">
        <v>41</v>
      </c>
      <c r="C14" s="736"/>
      <c r="D14" s="736"/>
      <c r="E14" s="758"/>
      <c r="F14" s="845" t="s">
        <v>29</v>
      </c>
      <c r="G14" s="853"/>
      <c r="H14" s="851">
        <f ca="1">IFERROR('Headline Results'!$H$32:$I$32,"Check Data ⚠")</f>
        <v>0.39314657829163435</v>
      </c>
      <c r="I14" s="852"/>
    </row>
    <row r="15" spans="2:19" ht="18.75" customHeight="1">
      <c r="B15" s="737"/>
      <c r="C15" s="738"/>
      <c r="D15" s="738"/>
      <c r="E15" s="759"/>
      <c r="F15" s="849" t="s">
        <v>30</v>
      </c>
      <c r="G15" s="850"/>
      <c r="H15" s="847">
        <f ca="1">IFERROR('Headline Results'!$H$33:$I$33,"Check Data ⚠")</f>
        <v>1.0751380852285091</v>
      </c>
      <c r="I15" s="848"/>
    </row>
    <row r="16" spans="2:19" ht="18.75" customHeight="1" thickBot="1">
      <c r="B16" s="739"/>
      <c r="C16" s="740"/>
      <c r="D16" s="740"/>
      <c r="E16" s="760"/>
      <c r="F16" s="835" t="s">
        <v>31</v>
      </c>
      <c r="G16" s="859"/>
      <c r="H16" s="857">
        <f>IFERROR('Headline Results'!$H$34:$I$34,"Check Data ⚠")</f>
        <v>0</v>
      </c>
      <c r="I16" s="858"/>
    </row>
    <row r="17" spans="2:9" ht="18.75" customHeight="1" thickBot="1"/>
    <row r="18" spans="2:9" ht="25.5" customHeight="1">
      <c r="B18" s="860" t="s">
        <v>42</v>
      </c>
      <c r="C18" s="860"/>
      <c r="D18" s="860"/>
      <c r="E18" s="860"/>
      <c r="F18" s="860"/>
      <c r="G18" s="860"/>
      <c r="H18" s="860"/>
      <c r="I18" s="860"/>
    </row>
    <row r="19" spans="2:9" ht="22.5" customHeight="1" thickBot="1">
      <c r="B19" s="861"/>
      <c r="C19" s="861"/>
      <c r="D19" s="861"/>
      <c r="E19" s="861"/>
      <c r="F19" s="861"/>
      <c r="G19" s="861"/>
      <c r="H19" s="861"/>
      <c r="I19" s="861"/>
    </row>
    <row r="20" spans="2:9" ht="18.75" customHeight="1" thickBot="1">
      <c r="B20" s="828"/>
      <c r="C20" s="828"/>
      <c r="D20" s="831" t="s">
        <v>43</v>
      </c>
      <c r="E20" s="831"/>
      <c r="F20" s="831" t="s">
        <v>44</v>
      </c>
      <c r="G20" s="831"/>
      <c r="H20" s="831" t="s">
        <v>45</v>
      </c>
      <c r="I20" s="831"/>
    </row>
    <row r="21" spans="2:9" ht="18.75" customHeight="1">
      <c r="B21" s="789" t="s">
        <v>46</v>
      </c>
      <c r="C21" s="790"/>
      <c r="D21" s="829">
        <f>IF(AND($K$40=0,'A-1 Site Habitat Baseline'!Y11:Y258&lt;&gt;"No",'D-1 Off Site Habitat Baseline'!Y11:Y258&lt;&gt;"No"),'A-1 Site Habitat Baseline'!$H259+'D-1 Off Site Habitat Baseline'!H259,"Error ▲")</f>
        <v>46.851600000000005</v>
      </c>
      <c r="E21" s="829"/>
      <c r="F21" s="821">
        <f>'B-1 Site Hedge Baseline'!$E$258+'E-1 Off Site Hedge Baseline'!$E$258</f>
        <v>0.68399999999999994</v>
      </c>
      <c r="G21" s="821"/>
      <c r="H21" s="821">
        <f>'C-1 Site River Baseline'!$E$258+'F-1 Off Site River Baseline'!$E$258</f>
        <v>0</v>
      </c>
      <c r="I21" s="822"/>
    </row>
    <row r="22" spans="2:9" ht="18.75" customHeight="1" thickBot="1">
      <c r="B22" s="791" t="s">
        <v>47</v>
      </c>
      <c r="C22" s="792"/>
      <c r="D22" s="830">
        <f>IF(AND($K$40=0,'A-1 Site Habitat Baseline'!Y11:Y258&lt;&gt;"No",'D-1 Off Site Habitat Baseline'!Y11:Y258&lt;&gt;"No"),'A-1 Site Habitat Baseline'!$Q259+'D-1 Off Site Habitat Baseline'!Q259,"Error ▲")</f>
        <v>115.93331999999999</v>
      </c>
      <c r="E22" s="830"/>
      <c r="F22" s="823">
        <f>'B-1 Site Hedge Baseline'!$N$258+'E-1 Off Site Hedge Baseline'!$N$258</f>
        <v>2.7359999999999998</v>
      </c>
      <c r="G22" s="823"/>
      <c r="H22" s="823">
        <f>'C-1 Site River Baseline'!$R$258+'F-1 Off Site River Baseline'!$R$258</f>
        <v>0</v>
      </c>
      <c r="I22" s="824"/>
    </row>
    <row r="23" spans="2:9" ht="18.75" customHeight="1" thickBot="1">
      <c r="D23" s="34"/>
      <c r="F23" s="34"/>
      <c r="H23" s="34"/>
    </row>
    <row r="24" spans="2:9" ht="18.75" customHeight="1">
      <c r="B24" s="789" t="s">
        <v>48</v>
      </c>
      <c r="C24" s="790"/>
      <c r="D24" s="829">
        <f>IF(AND($K$40=0,'A-1 Site Habitat Baseline'!Y11:Y258&lt;&gt;"No",'D-1 Off Site Habitat Baseline'!Y11:Y258&lt;&gt;"No"),'A-1 Site Habitat Baseline'!$S259+'D-1 Off Site Habitat Baseline'!S259,"Error ▲")</f>
        <v>8.7129000000000012</v>
      </c>
      <c r="E24" s="829"/>
      <c r="F24" s="821">
        <f>'B-1 Site Hedge Baseline'!$P$258+'E-1 Off Site Hedge Baseline'!$P$258</f>
        <v>0</v>
      </c>
      <c r="G24" s="821"/>
      <c r="H24" s="821">
        <f>'C-1 Site River Baseline'!T258+'F-1 Off Site River Baseline'!T258</f>
        <v>0</v>
      </c>
      <c r="I24" s="822"/>
    </row>
    <row r="25" spans="2:9" ht="18.75" customHeight="1" thickBot="1">
      <c r="B25" s="791" t="s">
        <v>49</v>
      </c>
      <c r="C25" s="792"/>
      <c r="D25" s="830">
        <f>IF(AND($K$40=0,'A-1 Site Habitat Baseline'!Y11:Y258&lt;&gt;"No",'D-1 Off Site Habitat Baseline'!Y11:Y258&lt;&gt;"No"),'A-1 Site Habitat Baseline'!$U259+'D-1 Off Site Habitat Baseline'!U259,"Error ▲")</f>
        <v>21.668479999999999</v>
      </c>
      <c r="E25" s="830"/>
      <c r="F25" s="823">
        <f>'B-1 Site Hedge Baseline'!R258+'E-1 Off Site Hedge Baseline'!R258</f>
        <v>0</v>
      </c>
      <c r="G25" s="823"/>
      <c r="H25" s="823">
        <f>'C-1 Site River Baseline'!V258+'F-1 Off Site River Baseline'!V258</f>
        <v>0</v>
      </c>
      <c r="I25" s="824"/>
    </row>
    <row r="26" spans="2:9" ht="18.75" customHeight="1" thickBot="1">
      <c r="D26" s="34"/>
      <c r="F26" s="34"/>
      <c r="H26" s="34"/>
    </row>
    <row r="27" spans="2:9" ht="18.75" customHeight="1">
      <c r="B27" s="789" t="s">
        <v>50</v>
      </c>
      <c r="C27" s="790"/>
      <c r="D27" s="829">
        <f>IF(AND($K$40=0,'A-1 Site Habitat Baseline'!Y11:Y258&lt;&gt;"No",'D-1 Off Site Habitat Baseline'!Y11:Y258&lt;&gt;"No"),'A-1 Site Habitat Baseline'!$T259+'D-1 Off Site Habitat Baseline'!T259,"Error ▲")</f>
        <v>1.22</v>
      </c>
      <c r="E27" s="829"/>
      <c r="F27" s="821">
        <f>'B-1 Site Hedge Baseline'!$Q$258+'E-1 Off Site Hedge Baseline'!$Q$258</f>
        <v>0.44400000000000001</v>
      </c>
      <c r="G27" s="821"/>
      <c r="H27" s="821">
        <f>'C-1 Site River Baseline'!U258+'F-1 Off Site River Baseline'!U258</f>
        <v>0</v>
      </c>
      <c r="I27" s="822"/>
    </row>
    <row r="28" spans="2:9" ht="18.75" customHeight="1" thickBot="1">
      <c r="B28" s="791" t="s">
        <v>51</v>
      </c>
      <c r="C28" s="792"/>
      <c r="D28" s="830">
        <f>IF(AND($K$40=0,'A-1 Site Habitat Baseline'!Y11:Y258&lt;&gt;"No",'D-1 Off Site Habitat Baseline'!Y11:Y258&lt;&gt;"No"),'A-1 Site Habitat Baseline'!$V259+'D-1 Off Site Habitat Baseline'!V259,"Error ▲")</f>
        <v>11.154000000000002</v>
      </c>
      <c r="E28" s="830"/>
      <c r="F28" s="823">
        <f>'B-1 Site Hedge Baseline'!$S$258+'E-1 Off Site Hedge Baseline'!$S$258</f>
        <v>1.776</v>
      </c>
      <c r="G28" s="823"/>
      <c r="H28" s="823">
        <f>'C-1 Site River Baseline'!W258+'F-1 Off Site River Baseline'!W258</f>
        <v>0</v>
      </c>
      <c r="I28" s="824"/>
    </row>
    <row r="29" spans="2:9" ht="18.75" customHeight="1" thickBot="1">
      <c r="D29" s="34"/>
      <c r="F29" s="34"/>
      <c r="H29" s="34"/>
    </row>
    <row r="30" spans="2:9" ht="18.75" customHeight="1">
      <c r="B30" s="789" t="s">
        <v>52</v>
      </c>
      <c r="C30" s="790"/>
      <c r="D30" s="829">
        <f>IF(AND($K$40=0,'A-1 Site Habitat Baseline'!Y11:Y258&lt;&gt;"No",'D-1 Off Site Habitat Baseline'!Y11:Y258&lt;&gt;"No"),'A-1 Site Habitat Baseline'!$W259+'D-1 Off Site Habitat Baseline'!W259,"Error ▲")</f>
        <v>36.918700000000001</v>
      </c>
      <c r="E30" s="829"/>
      <c r="F30" s="821">
        <f>'B-1 Site Hedge Baseline'!$T$258+'E-1 Off Site Hedge Baseline'!$T$258</f>
        <v>0.24</v>
      </c>
      <c r="G30" s="821"/>
      <c r="H30" s="821">
        <f>'C-1 Site River Baseline'!X258+'F-1 Off Site River Baseline'!X258</f>
        <v>0</v>
      </c>
      <c r="I30" s="822"/>
    </row>
    <row r="31" spans="2:9" ht="18.75" customHeight="1" thickBot="1">
      <c r="B31" s="791" t="s">
        <v>53</v>
      </c>
      <c r="C31" s="792"/>
      <c r="D31" s="830">
        <f>IF(AND($K$40=0,'A-1 Site Habitat Baseline'!Y11:Y258&lt;&gt;"No",'D-1 Off Site Habitat Baseline'!Y11:Y258&lt;&gt;"No"),'A-1 Site Habitat Baseline'!$X259+'D-1 Off Site Habitat Baseline'!X259,"Error ▲")</f>
        <v>83.11084000000001</v>
      </c>
      <c r="E31" s="830"/>
      <c r="F31" s="823">
        <f>'B-1 Site Hedge Baseline'!$U$258+'E-1 Off Site Hedge Baseline'!$U$258</f>
        <v>0.96</v>
      </c>
      <c r="G31" s="823"/>
      <c r="H31" s="823">
        <f>'C-1 Site River Baseline'!Y258+'F-1 Off Site River Baseline'!Y258</f>
        <v>0</v>
      </c>
      <c r="I31" s="824"/>
    </row>
    <row r="32" spans="2:9" ht="25.9" customHeight="1" thickBot="1">
      <c r="C32" s="34"/>
      <c r="D32" s="34"/>
      <c r="E32" s="34"/>
    </row>
    <row r="33" spans="1:22" s="333" customFormat="1" ht="43.9" customHeight="1" thickTop="1" thickBot="1">
      <c r="A33" s="793" t="s">
        <v>54</v>
      </c>
      <c r="C33" s="334"/>
      <c r="D33" s="334"/>
      <c r="E33" s="334"/>
    </row>
    <row r="34" spans="1:22" ht="25.9" thickBot="1">
      <c r="A34" s="794"/>
      <c r="B34" s="463" t="s">
        <v>55</v>
      </c>
    </row>
    <row r="35" spans="1:22" ht="18.75" customHeight="1" thickBot="1">
      <c r="A35" s="794"/>
    </row>
    <row r="36" spans="1:22" ht="22.15" customHeight="1" thickBot="1">
      <c r="A36" s="794"/>
      <c r="B36" s="805" t="s">
        <v>56</v>
      </c>
      <c r="C36" s="805"/>
      <c r="D36" s="805"/>
      <c r="E36" s="805"/>
      <c r="F36" s="805"/>
      <c r="G36" s="805"/>
      <c r="H36" s="805"/>
      <c r="J36" s="809" t="s">
        <v>57</v>
      </c>
      <c r="K36" s="810"/>
      <c r="L36" s="811"/>
    </row>
    <row r="37" spans="1:22" ht="34.15" customHeight="1" thickBot="1">
      <c r="A37" s="794"/>
      <c r="B37" s="35"/>
      <c r="C37" s="788" t="s">
        <v>58</v>
      </c>
      <c r="D37" s="788"/>
      <c r="E37" s="788" t="s">
        <v>59</v>
      </c>
      <c r="F37" s="788"/>
      <c r="G37" s="788" t="s">
        <v>60</v>
      </c>
      <c r="H37" s="788"/>
      <c r="J37" s="812"/>
      <c r="K37" s="813"/>
      <c r="L37" s="814"/>
      <c r="U37" s="862"/>
      <c r="V37" s="862"/>
    </row>
    <row r="38" spans="1:22" ht="52.9" customHeight="1" thickBot="1">
      <c r="A38" s="794"/>
      <c r="B38" s="323" t="s">
        <v>61</v>
      </c>
      <c r="C38" s="35" t="s">
        <v>62</v>
      </c>
      <c r="D38" s="35" t="s">
        <v>63</v>
      </c>
      <c r="E38" s="35" t="s">
        <v>64</v>
      </c>
      <c r="F38" s="35" t="s">
        <v>65</v>
      </c>
      <c r="G38" s="35" t="s">
        <v>66</v>
      </c>
      <c r="H38" s="35" t="s">
        <v>67</v>
      </c>
      <c r="J38" s="815" t="s">
        <v>68</v>
      </c>
      <c r="K38" s="817" t="s">
        <v>69</v>
      </c>
      <c r="L38" s="819" t="s">
        <v>70</v>
      </c>
      <c r="U38" s="862"/>
      <c r="V38" s="862"/>
    </row>
    <row r="39" spans="1:22" ht="15.6">
      <c r="A39" s="794"/>
      <c r="B39" s="43" t="s">
        <v>71</v>
      </c>
      <c r="C39" s="464">
        <f>'G-2 Habitat groups'!$AK$4</f>
        <v>40.47</v>
      </c>
      <c r="D39" s="464">
        <f>'G-2 Habitat groups'!$AL$4</f>
        <v>86.867999999999995</v>
      </c>
      <c r="E39" s="464">
        <f>'G-2 Habitat groups'!$AM$4</f>
        <v>7.7360000000000007</v>
      </c>
      <c r="F39" s="464">
        <f>'G-2 Habitat groups'!$AN$4</f>
        <v>15.8704</v>
      </c>
      <c r="G39" s="464">
        <f>E39-C39</f>
        <v>-32.733999999999995</v>
      </c>
      <c r="H39" s="464">
        <f>F39-D39</f>
        <v>-70.997599999999991</v>
      </c>
      <c r="J39" s="816"/>
      <c r="K39" s="818"/>
      <c r="L39" s="820"/>
    </row>
    <row r="40" spans="1:22" ht="15.6">
      <c r="A40" s="794"/>
      <c r="B40" s="37" t="s">
        <v>72</v>
      </c>
      <c r="C40" s="466">
        <f>'G-2 Habitat groups'!$AK$5</f>
        <v>2.88</v>
      </c>
      <c r="D40" s="466">
        <f>'G-2 Habitat groups'!$AL$5</f>
        <v>5.76</v>
      </c>
      <c r="E40" s="466">
        <f>'G-2 Habitat groups'!$AM$5</f>
        <v>32.301000000000002</v>
      </c>
      <c r="F40" s="466">
        <f>'G-2 Habitat groups'!$AN$5</f>
        <v>102.94539058250092</v>
      </c>
      <c r="G40" s="466">
        <f t="shared" ref="G40:G50" si="0">E40-C40</f>
        <v>29.421000000000003</v>
      </c>
      <c r="H40" s="466">
        <f t="shared" ref="H40:H50" si="1">F40-D40</f>
        <v>97.185390582500915</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6">
      <c r="A41" s="794"/>
      <c r="B41" s="37" t="s">
        <v>73</v>
      </c>
      <c r="C41" s="466">
        <f>'G-2 Habitat groups'!$AK$6</f>
        <v>0.2</v>
      </c>
      <c r="D41" s="466">
        <f>'G-2 Habitat groups'!$AL$6</f>
        <v>0.8</v>
      </c>
      <c r="E41" s="466">
        <f>'G-2 Habitat groups'!$AM$6</f>
        <v>0</v>
      </c>
      <c r="F41" s="466">
        <f>'G-2 Habitat groups'!$AN$6</f>
        <v>0</v>
      </c>
      <c r="G41" s="466">
        <f t="shared" si="0"/>
        <v>-0.2</v>
      </c>
      <c r="H41" s="466">
        <f t="shared" si="1"/>
        <v>-0.8</v>
      </c>
      <c r="J41" s="802"/>
      <c r="K41" s="804"/>
      <c r="L41" s="808"/>
    </row>
    <row r="42" spans="1:22" ht="15.6">
      <c r="A42" s="794"/>
      <c r="B42" s="37" t="s">
        <v>74</v>
      </c>
      <c r="C42" s="466">
        <f>'G-2 Habitat groups'!$AK$7</f>
        <v>0</v>
      </c>
      <c r="D42" s="466">
        <f>'G-2 Habitat groups'!$AL$7</f>
        <v>0</v>
      </c>
      <c r="E42" s="466">
        <f>'G-2 Habitat groups'!$AM$7</f>
        <v>0.37</v>
      </c>
      <c r="F42" s="466">
        <f>'G-2 Habitat groups'!$AN$7</f>
        <v>3.5619476891623023</v>
      </c>
      <c r="G42" s="466">
        <f t="shared" si="0"/>
        <v>0.37</v>
      </c>
      <c r="H42" s="466">
        <f t="shared" si="1"/>
        <v>3.5619476891623023</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6">
      <c r="A43" s="794"/>
      <c r="B43" s="37" t="s">
        <v>75</v>
      </c>
      <c r="C43" s="466">
        <f>'G-2 Habitat groups'!$AK$8</f>
        <v>0.46</v>
      </c>
      <c r="D43" s="466">
        <f>'G-2 Habitat groups'!$AL$8</f>
        <v>0.92</v>
      </c>
      <c r="E43" s="466">
        <f>'G-2 Habitat groups'!$AM$8</f>
        <v>0</v>
      </c>
      <c r="F43" s="466">
        <f>'G-2 Habitat groups'!$AN$8</f>
        <v>0</v>
      </c>
      <c r="G43" s="466">
        <f t="shared" si="0"/>
        <v>-0.46</v>
      </c>
      <c r="H43" s="466">
        <f t="shared" si="1"/>
        <v>-0.92</v>
      </c>
      <c r="J43" s="802"/>
      <c r="K43" s="804"/>
      <c r="L43" s="808"/>
    </row>
    <row r="44" spans="1:22" ht="15.6">
      <c r="A44" s="794"/>
      <c r="B44" s="37" t="s">
        <v>76</v>
      </c>
      <c r="C44" s="466">
        <f>'G-2 Habitat groups'!$AK$9</f>
        <v>1.6215999999999999</v>
      </c>
      <c r="D44" s="466">
        <f>'G-2 Habitat groups'!$AL$9</f>
        <v>10.431319999999999</v>
      </c>
      <c r="E44" s="466">
        <f>'G-2 Habitat groups'!$AM$9</f>
        <v>3.5196000000000001</v>
      </c>
      <c r="F44" s="466">
        <f>'G-2 Habitat groups'!$AN$9</f>
        <v>14.774571815735271</v>
      </c>
      <c r="G44" s="466">
        <f t="shared" si="0"/>
        <v>1.8980000000000001</v>
      </c>
      <c r="H44" s="466">
        <f t="shared" si="1"/>
        <v>4.3432518157352717</v>
      </c>
      <c r="J44" s="801" t="str">
        <f>'G-1 All Habitats'!$V5</f>
        <v>Medium</v>
      </c>
      <c r="K44" s="803">
        <f>SUMIF('A-1 Site Habitat Baseline'!$I$11:$I$258,'Detailed Results'!J44,'A-1 Site Habitat Baseline'!$W$11:$W$258)+SUMIF('D-1 Off Site Habitat Baseline'!$I$11:$I$258,'Detailed Results'!J44,'D-1 Off Site Habitat Baseline'!$W$11:$W$258)</f>
        <v>2.8097000000000003</v>
      </c>
      <c r="L44" s="807">
        <f>IF(K44=0,"",(K44/(SUM($K$40:$K$49)))*100)</f>
        <v>7.6105063287710566</v>
      </c>
    </row>
    <row r="45" spans="1:22" ht="15.6">
      <c r="A45" s="794"/>
      <c r="B45" s="37" t="s">
        <v>77</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6">
      <c r="A46" s="794"/>
      <c r="B46" s="38" t="s">
        <v>78</v>
      </c>
      <c r="C46" s="466">
        <f>'G-2 Habitat groups'!$AK$11</f>
        <v>1.22</v>
      </c>
      <c r="D46" s="466">
        <f>'G-2 Habitat groups'!$AL$11</f>
        <v>11.154000000000002</v>
      </c>
      <c r="E46" s="466">
        <f>'G-2 Habitat groups'!$AM$11</f>
        <v>5.18</v>
      </c>
      <c r="F46" s="466">
        <f ca="1">'G-2 Habitat groups'!$AN$11</f>
        <v>24.359797980590603</v>
      </c>
      <c r="G46" s="466">
        <f t="shared" si="0"/>
        <v>3.96</v>
      </c>
      <c r="H46" s="466">
        <f t="shared" ca="1" si="1"/>
        <v>13.205797980590601</v>
      </c>
      <c r="J46" s="801" t="str">
        <f>'G-1 All Habitats'!$V$6</f>
        <v>Low</v>
      </c>
      <c r="K46" s="803">
        <f>SUMIF('A-1 Site Habitat Baseline'!$I$11:$I$258,'Detailed Results'!J46,'A-1 Site Habitat Baseline'!$W$11:$W$258)+SUMIF('D-1 Off Site Habitat Baseline'!$I$11:$I$258,'Detailed Results'!J46,'D-1 Off Site Habitat Baseline'!$W$11:$W$258)</f>
        <v>34.069000000000003</v>
      </c>
      <c r="L46" s="807">
        <f>IF(K46=0,"",(K46/(SUM($K$40:$K$49)))*100)</f>
        <v>92.281147494359232</v>
      </c>
    </row>
    <row r="47" spans="1:22" ht="15.6">
      <c r="A47" s="794"/>
      <c r="B47" s="39" t="s">
        <v>79</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6">
      <c r="A48" s="794"/>
      <c r="B48" s="39" t="s">
        <v>80</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0.04</v>
      </c>
      <c r="L48" s="807">
        <f>IF(K48=0,"",(K48/(SUM($K$40:$K$49)))*100)</f>
        <v>0.10834617686971643</v>
      </c>
    </row>
    <row r="49" spans="1:33" ht="16.149999999999999" thickBot="1">
      <c r="A49" s="794"/>
      <c r="B49" s="39" t="s">
        <v>81</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6">
      <c r="A50" s="794"/>
      <c r="B50" s="39" t="s">
        <v>82</v>
      </c>
      <c r="C50" s="466">
        <f>'G-2 Habitat groups'!$AK$15</f>
        <v>0</v>
      </c>
      <c r="D50" s="466">
        <f>'G-2 Habitat groups'!$AL$15</f>
        <v>0</v>
      </c>
      <c r="E50" s="466">
        <f>'G-2 Habitat groups'!$AM$15</f>
        <v>0</v>
      </c>
      <c r="F50" s="466">
        <f>'G-2 Habitat groups'!$AN$15</f>
        <v>0</v>
      </c>
      <c r="G50" s="466">
        <f t="shared" si="0"/>
        <v>0</v>
      </c>
      <c r="H50" s="466">
        <f t="shared" si="1"/>
        <v>0</v>
      </c>
    </row>
    <row r="51" spans="1:33" ht="15.6">
      <c r="A51" s="794"/>
      <c r="B51" s="39" t="s">
        <v>83</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c r="A52" s="794"/>
    </row>
    <row r="53" spans="1:33" ht="15.75" customHeight="1">
      <c r="A53" s="794"/>
    </row>
    <row r="54" spans="1:33" ht="10.15" customHeight="1" thickBot="1">
      <c r="A54" s="794"/>
    </row>
    <row r="55" spans="1:33" ht="22.9" customHeight="1" thickBot="1">
      <c r="A55" s="794"/>
      <c r="B55" s="805" t="s">
        <v>84</v>
      </c>
      <c r="C55" s="805"/>
      <c r="D55" s="805"/>
      <c r="E55" s="805"/>
      <c r="F55" s="805"/>
      <c r="G55" s="805"/>
      <c r="H55" s="805"/>
      <c r="I55" s="41"/>
      <c r="J55" s="41"/>
      <c r="K55" s="41"/>
      <c r="L55" s="41"/>
      <c r="M55" s="41"/>
    </row>
    <row r="56" spans="1:33" s="42" customFormat="1" ht="38.25" customHeight="1" thickBot="1">
      <c r="A56" s="794"/>
      <c r="B56" s="35"/>
      <c r="C56" s="788" t="s">
        <v>58</v>
      </c>
      <c r="D56" s="788"/>
      <c r="E56" s="788" t="s">
        <v>85</v>
      </c>
      <c r="F56" s="788"/>
      <c r="G56" s="788" t="s">
        <v>86</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c r="A57" s="794"/>
      <c r="B57" s="323" t="s">
        <v>61</v>
      </c>
      <c r="C57" s="35" t="s">
        <v>62</v>
      </c>
      <c r="D57" s="35" t="s">
        <v>87</v>
      </c>
      <c r="E57" s="35" t="s">
        <v>88</v>
      </c>
      <c r="F57" s="35" t="s">
        <v>89</v>
      </c>
      <c r="G57" s="35" t="s">
        <v>90</v>
      </c>
      <c r="H57" s="35" t="s">
        <v>91</v>
      </c>
      <c r="I57" s="40"/>
      <c r="J57" s="40"/>
    </row>
    <row r="58" spans="1:33" ht="15.6">
      <c r="A58" s="794"/>
      <c r="B58" s="43" t="s">
        <v>71</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6">
      <c r="A59" s="794"/>
      <c r="B59" s="37" t="s">
        <v>72</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c r="A60" s="794"/>
      <c r="B60" s="37" t="s">
        <v>73</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6">
      <c r="A61" s="794"/>
      <c r="B61" s="37" t="s">
        <v>74</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6">
      <c r="A62" s="794"/>
      <c r="B62" s="37" t="s">
        <v>75</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6">
      <c r="A63" s="794"/>
      <c r="B63" s="37" t="s">
        <v>76</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6">
      <c r="A64" s="794"/>
      <c r="B64" s="37" t="s">
        <v>77</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6">
      <c r="A65" s="794"/>
      <c r="B65" s="38" t="s">
        <v>78</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c r="A66" s="794"/>
      <c r="B66" s="44" t="s">
        <v>79</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c r="A67" s="794"/>
      <c r="B67" s="44" t="s">
        <v>80</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c r="A68" s="794"/>
      <c r="B68" s="44" t="s">
        <v>81</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c r="A69" s="794"/>
      <c r="B69" s="44" t="s">
        <v>82</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c r="A70" s="794"/>
      <c r="B70" s="45" t="s">
        <v>83</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c r="A71" s="794"/>
      <c r="B71" s="40"/>
      <c r="C71" s="40"/>
      <c r="D71" s="40"/>
      <c r="E71" s="40"/>
      <c r="F71" s="40"/>
      <c r="G71" s="40"/>
      <c r="H71" s="40"/>
      <c r="I71" s="40"/>
      <c r="J71" s="40"/>
    </row>
    <row r="72" spans="1:10" ht="15.75" customHeight="1">
      <c r="A72" s="794"/>
      <c r="B72" s="40"/>
      <c r="C72" s="40"/>
      <c r="D72" s="40"/>
      <c r="E72" s="40"/>
      <c r="F72" s="40"/>
      <c r="G72" s="40"/>
      <c r="H72" s="40"/>
      <c r="I72" s="40"/>
      <c r="J72" s="40"/>
    </row>
    <row r="73" spans="1:10" ht="10.9" customHeight="1" thickBot="1">
      <c r="A73" s="794"/>
      <c r="B73" s="40"/>
      <c r="C73" s="40"/>
      <c r="D73" s="40"/>
      <c r="E73" s="40"/>
      <c r="F73" s="40"/>
      <c r="G73" s="40"/>
      <c r="H73" s="40"/>
      <c r="I73" s="40"/>
      <c r="J73" s="40"/>
    </row>
    <row r="74" spans="1:10" ht="18" thickBot="1">
      <c r="A74" s="794"/>
      <c r="B74" s="805" t="s">
        <v>92</v>
      </c>
      <c r="C74" s="805"/>
      <c r="D74" s="805"/>
      <c r="E74" s="805"/>
      <c r="F74" s="805"/>
      <c r="G74" s="805"/>
      <c r="H74" s="805"/>
      <c r="I74" s="40"/>
      <c r="J74" s="40"/>
    </row>
    <row r="75" spans="1:10" ht="33.6" customHeight="1" thickBot="1">
      <c r="A75" s="794"/>
      <c r="B75" s="35"/>
      <c r="C75" s="788" t="s">
        <v>58</v>
      </c>
      <c r="D75" s="788"/>
      <c r="E75" s="788" t="s">
        <v>93</v>
      </c>
      <c r="F75" s="788"/>
      <c r="G75" s="788" t="s">
        <v>94</v>
      </c>
      <c r="H75" s="788"/>
      <c r="I75" s="40"/>
      <c r="J75" s="40"/>
    </row>
    <row r="76" spans="1:10" ht="45.6" customHeight="1">
      <c r="A76" s="794"/>
      <c r="B76" s="36" t="s">
        <v>61</v>
      </c>
      <c r="C76" s="324" t="s">
        <v>62</v>
      </c>
      <c r="D76" s="324" t="s">
        <v>63</v>
      </c>
      <c r="E76" s="324" t="s">
        <v>95</v>
      </c>
      <c r="F76" s="324" t="s">
        <v>96</v>
      </c>
      <c r="G76" s="324" t="s">
        <v>64</v>
      </c>
      <c r="H76" s="324" t="s">
        <v>65</v>
      </c>
      <c r="I76" s="40"/>
      <c r="J76" s="40"/>
    </row>
    <row r="77" spans="1:10" ht="15.75" customHeight="1">
      <c r="A77" s="794"/>
      <c r="B77" s="37" t="s">
        <v>71</v>
      </c>
      <c r="C77" s="466">
        <f t="shared" ref="C77:H89" si="8">C39+C58</f>
        <v>40.47</v>
      </c>
      <c r="D77" s="466">
        <f t="shared" si="8"/>
        <v>86.867999999999995</v>
      </c>
      <c r="E77" s="466">
        <f t="shared" si="8"/>
        <v>7.7360000000000007</v>
      </c>
      <c r="F77" s="466">
        <f t="shared" si="8"/>
        <v>15.8704</v>
      </c>
      <c r="G77" s="466">
        <f t="shared" si="8"/>
        <v>-32.733999999999995</v>
      </c>
      <c r="H77" s="467">
        <f t="shared" si="8"/>
        <v>-70.997599999999991</v>
      </c>
      <c r="I77" s="40"/>
      <c r="J77" s="40"/>
    </row>
    <row r="78" spans="1:10" ht="15.75" customHeight="1">
      <c r="A78" s="794"/>
      <c r="B78" s="37" t="s">
        <v>72</v>
      </c>
      <c r="C78" s="466">
        <f t="shared" si="8"/>
        <v>2.88</v>
      </c>
      <c r="D78" s="466">
        <f t="shared" si="8"/>
        <v>5.76</v>
      </c>
      <c r="E78" s="466">
        <f t="shared" si="8"/>
        <v>32.301000000000002</v>
      </c>
      <c r="F78" s="466">
        <f t="shared" si="8"/>
        <v>102.94539058250092</v>
      </c>
      <c r="G78" s="466">
        <f t="shared" si="8"/>
        <v>29.421000000000003</v>
      </c>
      <c r="H78" s="467">
        <f t="shared" si="8"/>
        <v>97.185390582500915</v>
      </c>
      <c r="I78" s="40"/>
      <c r="J78" s="40"/>
    </row>
    <row r="79" spans="1:10" ht="15.75" customHeight="1">
      <c r="A79" s="794"/>
      <c r="B79" s="37" t="s">
        <v>73</v>
      </c>
      <c r="C79" s="466">
        <f t="shared" si="8"/>
        <v>0.2</v>
      </c>
      <c r="D79" s="466">
        <f t="shared" si="8"/>
        <v>0.8</v>
      </c>
      <c r="E79" s="466">
        <f t="shared" si="8"/>
        <v>0</v>
      </c>
      <c r="F79" s="466">
        <f t="shared" si="8"/>
        <v>0</v>
      </c>
      <c r="G79" s="466">
        <f t="shared" si="8"/>
        <v>-0.2</v>
      </c>
      <c r="H79" s="467">
        <f t="shared" si="8"/>
        <v>-0.8</v>
      </c>
      <c r="I79" s="40"/>
      <c r="J79" s="40"/>
    </row>
    <row r="80" spans="1:10" ht="15.75" customHeight="1">
      <c r="A80" s="794"/>
      <c r="B80" s="37" t="s">
        <v>74</v>
      </c>
      <c r="C80" s="466">
        <f t="shared" si="8"/>
        <v>0</v>
      </c>
      <c r="D80" s="466">
        <f t="shared" si="8"/>
        <v>0</v>
      </c>
      <c r="E80" s="466">
        <f t="shared" si="8"/>
        <v>0.37</v>
      </c>
      <c r="F80" s="466">
        <f t="shared" si="8"/>
        <v>3.5619476891623023</v>
      </c>
      <c r="G80" s="466">
        <f t="shared" si="8"/>
        <v>0.37</v>
      </c>
      <c r="H80" s="467">
        <f t="shared" si="8"/>
        <v>3.5619476891623023</v>
      </c>
      <c r="I80" s="40"/>
      <c r="J80" s="40"/>
    </row>
    <row r="81" spans="1:12" ht="15.75" customHeight="1">
      <c r="A81" s="794"/>
      <c r="B81" s="37" t="s">
        <v>75</v>
      </c>
      <c r="C81" s="466">
        <f t="shared" si="8"/>
        <v>0.46</v>
      </c>
      <c r="D81" s="466">
        <f t="shared" si="8"/>
        <v>0.92</v>
      </c>
      <c r="E81" s="466">
        <f t="shared" si="8"/>
        <v>0</v>
      </c>
      <c r="F81" s="466">
        <f t="shared" si="8"/>
        <v>0</v>
      </c>
      <c r="G81" s="466">
        <f t="shared" si="8"/>
        <v>-0.46</v>
      </c>
      <c r="H81" s="467">
        <f t="shared" si="8"/>
        <v>-0.92</v>
      </c>
      <c r="I81" s="40"/>
      <c r="J81" s="40"/>
    </row>
    <row r="82" spans="1:12" ht="15.75" customHeight="1">
      <c r="A82" s="794"/>
      <c r="B82" s="37" t="s">
        <v>76</v>
      </c>
      <c r="C82" s="466">
        <f t="shared" si="8"/>
        <v>1.6215999999999999</v>
      </c>
      <c r="D82" s="466">
        <f t="shared" si="8"/>
        <v>10.431319999999999</v>
      </c>
      <c r="E82" s="466">
        <f t="shared" si="8"/>
        <v>3.5196000000000001</v>
      </c>
      <c r="F82" s="466">
        <f t="shared" si="8"/>
        <v>14.774571815735271</v>
      </c>
      <c r="G82" s="466">
        <f t="shared" si="8"/>
        <v>1.8980000000000001</v>
      </c>
      <c r="H82" s="467">
        <f t="shared" si="8"/>
        <v>4.3432518157352717</v>
      </c>
      <c r="I82" s="40"/>
      <c r="J82" s="40"/>
    </row>
    <row r="83" spans="1:12" ht="15.75" customHeight="1">
      <c r="A83" s="794"/>
      <c r="B83" s="37" t="s">
        <v>77</v>
      </c>
      <c r="C83" s="466">
        <f t="shared" si="8"/>
        <v>0</v>
      </c>
      <c r="D83" s="466">
        <f t="shared" si="8"/>
        <v>0</v>
      </c>
      <c r="E83" s="466">
        <f t="shared" si="8"/>
        <v>0</v>
      </c>
      <c r="F83" s="466">
        <f t="shared" si="8"/>
        <v>0</v>
      </c>
      <c r="G83" s="466">
        <f t="shared" si="8"/>
        <v>0</v>
      </c>
      <c r="H83" s="467">
        <f t="shared" si="8"/>
        <v>0</v>
      </c>
      <c r="I83" s="40"/>
      <c r="J83" s="40"/>
    </row>
    <row r="84" spans="1:12" ht="18" customHeight="1">
      <c r="A84" s="794"/>
      <c r="B84" s="38" t="s">
        <v>78</v>
      </c>
      <c r="C84" s="466">
        <f t="shared" si="8"/>
        <v>1.22</v>
      </c>
      <c r="D84" s="466">
        <f t="shared" si="8"/>
        <v>11.154000000000002</v>
      </c>
      <c r="E84" s="466">
        <f t="shared" si="8"/>
        <v>5.18</v>
      </c>
      <c r="F84" s="466">
        <f t="shared" ca="1" si="8"/>
        <v>24.359797980590603</v>
      </c>
      <c r="G84" s="466">
        <f t="shared" si="8"/>
        <v>3.96</v>
      </c>
      <c r="H84" s="467">
        <f t="shared" ca="1" si="8"/>
        <v>13.205797980590601</v>
      </c>
      <c r="I84" s="40"/>
      <c r="J84" s="40"/>
    </row>
    <row r="85" spans="1:12" ht="15.6">
      <c r="A85" s="794"/>
      <c r="B85" s="44" t="s">
        <v>79</v>
      </c>
      <c r="C85" s="466">
        <f t="shared" si="8"/>
        <v>0</v>
      </c>
      <c r="D85" s="466">
        <f t="shared" si="8"/>
        <v>0</v>
      </c>
      <c r="E85" s="466">
        <f t="shared" si="8"/>
        <v>0</v>
      </c>
      <c r="F85" s="466">
        <f t="shared" si="8"/>
        <v>0</v>
      </c>
      <c r="G85" s="466">
        <f t="shared" si="8"/>
        <v>0</v>
      </c>
      <c r="H85" s="467">
        <f t="shared" si="8"/>
        <v>0</v>
      </c>
      <c r="I85" s="40"/>
      <c r="J85" s="40"/>
    </row>
    <row r="86" spans="1:12" ht="15.6">
      <c r="A86" s="794"/>
      <c r="B86" s="44" t="s">
        <v>80</v>
      </c>
      <c r="C86" s="466">
        <f t="shared" si="8"/>
        <v>0</v>
      </c>
      <c r="D86" s="466">
        <f t="shared" si="8"/>
        <v>0</v>
      </c>
      <c r="E86" s="466">
        <f t="shared" si="8"/>
        <v>0</v>
      </c>
      <c r="F86" s="466">
        <f t="shared" si="8"/>
        <v>0</v>
      </c>
      <c r="G86" s="466">
        <f t="shared" si="8"/>
        <v>0</v>
      </c>
      <c r="H86" s="467">
        <f t="shared" si="8"/>
        <v>0</v>
      </c>
      <c r="I86" s="40"/>
      <c r="J86" s="40"/>
    </row>
    <row r="87" spans="1:12" ht="15.6">
      <c r="A87" s="794"/>
      <c r="B87" s="44" t="s">
        <v>81</v>
      </c>
      <c r="C87" s="466">
        <f t="shared" si="8"/>
        <v>0</v>
      </c>
      <c r="D87" s="466">
        <f t="shared" si="8"/>
        <v>0</v>
      </c>
      <c r="E87" s="466">
        <f t="shared" si="8"/>
        <v>0</v>
      </c>
      <c r="F87" s="466">
        <f t="shared" si="8"/>
        <v>0</v>
      </c>
      <c r="G87" s="466">
        <f t="shared" si="8"/>
        <v>0</v>
      </c>
      <c r="H87" s="467">
        <f t="shared" si="8"/>
        <v>0</v>
      </c>
      <c r="I87" s="40"/>
      <c r="J87" s="40"/>
    </row>
    <row r="88" spans="1:12" ht="15.6">
      <c r="A88" s="794"/>
      <c r="B88" s="44" t="s">
        <v>82</v>
      </c>
      <c r="C88" s="466">
        <f t="shared" si="8"/>
        <v>0</v>
      </c>
      <c r="D88" s="466">
        <f t="shared" si="8"/>
        <v>0</v>
      </c>
      <c r="E88" s="466">
        <f t="shared" si="8"/>
        <v>0</v>
      </c>
      <c r="F88" s="466">
        <f t="shared" si="8"/>
        <v>0</v>
      </c>
      <c r="G88" s="466">
        <f t="shared" si="8"/>
        <v>0</v>
      </c>
      <c r="H88" s="467">
        <f t="shared" si="8"/>
        <v>0</v>
      </c>
      <c r="I88" s="40"/>
      <c r="J88" s="40"/>
    </row>
    <row r="89" spans="1:12" ht="16.149999999999999" thickBot="1">
      <c r="A89" s="794"/>
      <c r="B89" s="45" t="s">
        <v>83</v>
      </c>
      <c r="C89" s="469">
        <f t="shared" si="8"/>
        <v>0</v>
      </c>
      <c r="D89" s="469">
        <f t="shared" si="8"/>
        <v>0</v>
      </c>
      <c r="E89" s="469">
        <f t="shared" si="8"/>
        <v>0</v>
      </c>
      <c r="F89" s="469">
        <f t="shared" si="8"/>
        <v>0</v>
      </c>
      <c r="G89" s="469">
        <f t="shared" si="8"/>
        <v>0</v>
      </c>
      <c r="H89" s="470">
        <f t="shared" si="8"/>
        <v>0</v>
      </c>
      <c r="I89" s="40"/>
      <c r="J89" s="40"/>
    </row>
    <row r="90" spans="1:12" ht="15" customHeight="1">
      <c r="A90" s="794"/>
      <c r="B90" s="40"/>
      <c r="C90" s="40"/>
      <c r="D90" s="40"/>
      <c r="E90" s="40"/>
      <c r="F90" s="40"/>
      <c r="G90" s="40"/>
      <c r="H90" s="40"/>
      <c r="I90" s="40"/>
      <c r="J90" s="40"/>
    </row>
    <row r="91" spans="1:12" s="332" customFormat="1" ht="66" customHeight="1" thickBot="1">
      <c r="A91" s="795"/>
    </row>
    <row r="92" spans="1:12" ht="37.9" customHeight="1" thickTop="1" thickBot="1">
      <c r="A92" s="796" t="s">
        <v>97</v>
      </c>
    </row>
    <row r="93" spans="1:12" ht="25.9" thickBot="1">
      <c r="A93" s="797"/>
      <c r="B93" s="825" t="s">
        <v>98</v>
      </c>
      <c r="C93" s="826"/>
      <c r="D93" s="827"/>
    </row>
    <row r="94" spans="1:12">
      <c r="A94" s="797"/>
    </row>
    <row r="95" spans="1:12" ht="15" customHeight="1" thickBot="1">
      <c r="A95" s="797"/>
    </row>
    <row r="96" spans="1:12" ht="18" customHeight="1" thickBot="1">
      <c r="A96" s="797"/>
      <c r="B96" s="805" t="s">
        <v>99</v>
      </c>
      <c r="C96" s="805"/>
      <c r="D96" s="805"/>
      <c r="E96" s="805"/>
      <c r="F96" s="805"/>
      <c r="G96" s="805"/>
      <c r="H96" s="805"/>
      <c r="J96" s="809" t="s">
        <v>100</v>
      </c>
      <c r="K96" s="810"/>
      <c r="L96" s="811"/>
    </row>
    <row r="97" spans="1:12" ht="16.149999999999999" customHeight="1" thickBot="1">
      <c r="A97" s="797"/>
      <c r="B97" s="35"/>
      <c r="C97" s="788" t="s">
        <v>58</v>
      </c>
      <c r="D97" s="788"/>
      <c r="E97" s="788" t="s">
        <v>59</v>
      </c>
      <c r="F97" s="788"/>
      <c r="G97" s="788" t="s">
        <v>60</v>
      </c>
      <c r="H97" s="788"/>
      <c r="J97" s="812"/>
      <c r="K97" s="813"/>
      <c r="L97" s="814"/>
    </row>
    <row r="98" spans="1:12" ht="47.45" thickBot="1">
      <c r="A98" s="797"/>
      <c r="B98" s="323" t="s">
        <v>101</v>
      </c>
      <c r="C98" s="35" t="s">
        <v>102</v>
      </c>
      <c r="D98" s="35" t="s">
        <v>63</v>
      </c>
      <c r="E98" s="35" t="s">
        <v>103</v>
      </c>
      <c r="F98" s="35" t="s">
        <v>104</v>
      </c>
      <c r="G98" s="35" t="s">
        <v>105</v>
      </c>
      <c r="H98" s="35" t="s">
        <v>106</v>
      </c>
      <c r="J98" s="815" t="s">
        <v>68</v>
      </c>
      <c r="K98" s="817" t="s">
        <v>107</v>
      </c>
      <c r="L98" s="819" t="s">
        <v>108</v>
      </c>
    </row>
    <row r="99" spans="1:12" ht="31.15">
      <c r="A99" s="797"/>
      <c r="B99" s="328" t="s">
        <v>109</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6">
      <c r="A100" s="797"/>
      <c r="B100" s="329" t="s">
        <v>110</v>
      </c>
      <c r="C100" s="464">
        <f>'G-2 Habitat groups'!E147</f>
        <v>0</v>
      </c>
      <c r="D100" s="464">
        <f>'G-2 Habitat groups'!F147</f>
        <v>0</v>
      </c>
      <c r="E100" s="464">
        <f>'G-2 Habitat groups'!O147</f>
        <v>0</v>
      </c>
      <c r="F100" s="464">
        <f>'G-2 Habitat groups'!P147</f>
        <v>0</v>
      </c>
      <c r="G100" s="464">
        <f t="shared" ref="G100:G111" si="10">E100-C100</f>
        <v>0</v>
      </c>
      <c r="H100" s="464">
        <f t="shared" si="9"/>
        <v>0</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6">
      <c r="A101" s="797"/>
      <c r="B101" s="329" t="s">
        <v>111</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6">
      <c r="A102" s="797"/>
      <c r="B102" s="329" t="s">
        <v>112</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6">
      <c r="A103" s="797"/>
      <c r="B103" s="329" t="s">
        <v>113</v>
      </c>
      <c r="C103" s="464">
        <f>'G-2 Habitat groups'!E150</f>
        <v>0</v>
      </c>
      <c r="D103" s="464">
        <f>'G-2 Habitat groups'!F150</f>
        <v>0</v>
      </c>
      <c r="E103" s="464">
        <f>'G-2 Habitat groups'!O150</f>
        <v>0.44400000000000001</v>
      </c>
      <c r="F103" s="464">
        <f ca="1">'G-2 Habitat groups'!P150</f>
        <v>4.3536193137312003</v>
      </c>
      <c r="G103" s="464">
        <f t="shared" si="10"/>
        <v>0.44400000000000001</v>
      </c>
      <c r="H103" s="464">
        <f t="shared" ca="1" si="9"/>
        <v>4.3536193137312003</v>
      </c>
      <c r="J103" s="802"/>
      <c r="K103" s="804"/>
      <c r="L103" s="808"/>
    </row>
    <row r="104" spans="1:12" ht="15.6">
      <c r="A104" s="797"/>
      <c r="B104" s="329" t="s">
        <v>114</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6">
      <c r="A105" s="797"/>
      <c r="B105" s="329" t="s">
        <v>115</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6">
      <c r="A106" s="797"/>
      <c r="B106" s="330" t="s">
        <v>116</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0.24</v>
      </c>
      <c r="L106" s="807">
        <f t="shared" ref="L106" si="13">IF(K106=0,"",(K106/(SUM($K$100:$K$109)))*100)</f>
        <v>100</v>
      </c>
    </row>
    <row r="107" spans="1:12" ht="15.6">
      <c r="A107" s="797"/>
      <c r="B107" s="331" t="s">
        <v>117</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6">
      <c r="A108" s="797"/>
      <c r="B108" s="331" t="s">
        <v>118</v>
      </c>
      <c r="C108" s="464">
        <f>'G-2 Habitat groups'!E155</f>
        <v>0.68399999999999994</v>
      </c>
      <c r="D108" s="464">
        <f>'G-2 Habitat groups'!F155</f>
        <v>2.7359999999999998</v>
      </c>
      <c r="E108" s="464">
        <f>'G-2 Habitat groups'!O155</f>
        <v>0</v>
      </c>
      <c r="F108" s="464">
        <f>'G-2 Habitat groups'!P155</f>
        <v>0</v>
      </c>
      <c r="G108" s="464">
        <f t="shared" si="10"/>
        <v>-0.68399999999999994</v>
      </c>
      <c r="H108" s="464">
        <f t="shared" si="9"/>
        <v>-2.7359999999999998</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149999999999999" thickBot="1">
      <c r="A109" s="797"/>
      <c r="B109" s="331" t="s">
        <v>119</v>
      </c>
      <c r="C109" s="464">
        <f>'G-2 Habitat groups'!E156</f>
        <v>0</v>
      </c>
      <c r="D109" s="464">
        <f>'G-2 Habitat groups'!F156</f>
        <v>0</v>
      </c>
      <c r="E109" s="464">
        <f>'G-2 Habitat groups'!O156</f>
        <v>0.69</v>
      </c>
      <c r="F109" s="464">
        <f>'G-2 Habitat groups'!P156</f>
        <v>1.3239584874539998</v>
      </c>
      <c r="G109" s="464">
        <f t="shared" si="10"/>
        <v>0.69</v>
      </c>
      <c r="H109" s="464">
        <f t="shared" si="9"/>
        <v>1.3239584874539998</v>
      </c>
      <c r="J109" s="806"/>
      <c r="K109" s="804"/>
      <c r="L109" s="808"/>
    </row>
    <row r="110" spans="1:12" ht="15.6">
      <c r="A110" s="797"/>
      <c r="B110" s="331" t="s">
        <v>120</v>
      </c>
      <c r="C110" s="464">
        <f>'G-2 Habitat groups'!E157</f>
        <v>0</v>
      </c>
      <c r="D110" s="464">
        <f>'G-2 Habitat groups'!F157</f>
        <v>0</v>
      </c>
      <c r="E110" s="464">
        <f>'G-2 Habitat groups'!O157</f>
        <v>0</v>
      </c>
      <c r="F110" s="464">
        <f>'G-2 Habitat groups'!P157</f>
        <v>0</v>
      </c>
      <c r="G110" s="464">
        <f t="shared" si="10"/>
        <v>0</v>
      </c>
      <c r="H110" s="464">
        <f t="shared" si="9"/>
        <v>0</v>
      </c>
    </row>
    <row r="111" spans="1:12" ht="15.6">
      <c r="A111" s="797"/>
      <c r="B111" s="331" t="s">
        <v>121</v>
      </c>
      <c r="C111" s="464">
        <f>'G-2 Habitat groups'!E158</f>
        <v>0</v>
      </c>
      <c r="D111" s="464">
        <f>'G-2 Habitat groups'!F158</f>
        <v>0</v>
      </c>
      <c r="E111" s="464">
        <f>'G-2 Habitat groups'!O158</f>
        <v>0</v>
      </c>
      <c r="F111" s="464">
        <f>'G-2 Habitat groups'!P158</f>
        <v>0</v>
      </c>
      <c r="G111" s="464">
        <f t="shared" si="10"/>
        <v>0</v>
      </c>
      <c r="H111" s="464">
        <f t="shared" si="9"/>
        <v>0</v>
      </c>
    </row>
    <row r="112" spans="1:12">
      <c r="A112" s="797"/>
    </row>
    <row r="113" spans="1:8">
      <c r="A113" s="797"/>
    </row>
    <row r="114" spans="1:8">
      <c r="A114" s="797"/>
    </row>
    <row r="115" spans="1:8" ht="14.45" thickBot="1">
      <c r="A115" s="797"/>
    </row>
    <row r="116" spans="1:8" ht="18" thickBot="1">
      <c r="A116" s="797"/>
      <c r="B116" s="805" t="s">
        <v>122</v>
      </c>
      <c r="C116" s="805"/>
      <c r="D116" s="805"/>
      <c r="E116" s="805"/>
      <c r="F116" s="805"/>
      <c r="G116" s="805"/>
      <c r="H116" s="805"/>
    </row>
    <row r="117" spans="1:8" ht="16.149999999999999" thickBot="1">
      <c r="A117" s="797"/>
      <c r="B117" s="35"/>
      <c r="C117" s="788" t="s">
        <v>123</v>
      </c>
      <c r="D117" s="788"/>
      <c r="E117" s="788" t="s">
        <v>124</v>
      </c>
      <c r="F117" s="788"/>
      <c r="G117" s="788" t="s">
        <v>125</v>
      </c>
      <c r="H117" s="788"/>
    </row>
    <row r="118" spans="1:8" ht="47.45" thickBot="1">
      <c r="A118" s="797"/>
      <c r="B118" s="323" t="s">
        <v>101</v>
      </c>
      <c r="C118" s="35" t="s">
        <v>126</v>
      </c>
      <c r="D118" s="35" t="s">
        <v>127</v>
      </c>
      <c r="E118" s="35" t="s">
        <v>128</v>
      </c>
      <c r="F118" s="35" t="s">
        <v>129</v>
      </c>
      <c r="G118" s="35" t="s">
        <v>130</v>
      </c>
      <c r="H118" s="35" t="s">
        <v>131</v>
      </c>
    </row>
    <row r="119" spans="1:8" ht="31.15">
      <c r="A119" s="797"/>
      <c r="B119" s="328" t="s">
        <v>109</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6">
      <c r="A120" s="797"/>
      <c r="B120" s="329" t="s">
        <v>110</v>
      </c>
      <c r="C120" s="464">
        <f>'G-2 Habitat groups'!S147</f>
        <v>0</v>
      </c>
      <c r="D120" s="464">
        <f>'G-2 Habitat groups'!T147</f>
        <v>0</v>
      </c>
      <c r="E120" s="464">
        <f>'G-2 Habitat groups'!AA147</f>
        <v>0</v>
      </c>
      <c r="F120" s="464">
        <f>'G-2 Habitat groups'!AB147</f>
        <v>0</v>
      </c>
      <c r="G120" s="464">
        <f t="shared" si="15"/>
        <v>0</v>
      </c>
      <c r="H120" s="464">
        <f t="shared" si="16"/>
        <v>0</v>
      </c>
    </row>
    <row r="121" spans="1:8" ht="15.6">
      <c r="A121" s="797"/>
      <c r="B121" s="329" t="s">
        <v>111</v>
      </c>
      <c r="C121" s="464">
        <f>'G-2 Habitat groups'!S148</f>
        <v>0</v>
      </c>
      <c r="D121" s="464">
        <f>'G-2 Habitat groups'!T148</f>
        <v>0</v>
      </c>
      <c r="E121" s="464">
        <f>'G-2 Habitat groups'!AA148</f>
        <v>0</v>
      </c>
      <c r="F121" s="464">
        <f>'G-2 Habitat groups'!AB148</f>
        <v>0</v>
      </c>
      <c r="G121" s="464">
        <f t="shared" si="15"/>
        <v>0</v>
      </c>
      <c r="H121" s="464">
        <f t="shared" si="16"/>
        <v>0</v>
      </c>
    </row>
    <row r="122" spans="1:8" ht="15.6">
      <c r="A122" s="797"/>
      <c r="B122" s="329" t="s">
        <v>112</v>
      </c>
      <c r="C122" s="464">
        <f>'G-2 Habitat groups'!S149</f>
        <v>0</v>
      </c>
      <c r="D122" s="464">
        <f>'G-2 Habitat groups'!T149</f>
        <v>0</v>
      </c>
      <c r="E122" s="464">
        <f>'G-2 Habitat groups'!AA149</f>
        <v>0</v>
      </c>
      <c r="F122" s="464">
        <f>'G-2 Habitat groups'!AB149</f>
        <v>0</v>
      </c>
      <c r="G122" s="464">
        <f t="shared" si="15"/>
        <v>0</v>
      </c>
      <c r="H122" s="464">
        <f t="shared" si="16"/>
        <v>0</v>
      </c>
    </row>
    <row r="123" spans="1:8" ht="15.6">
      <c r="A123" s="797"/>
      <c r="B123" s="329" t="s">
        <v>113</v>
      </c>
      <c r="C123" s="464">
        <f>'G-2 Habitat groups'!S150</f>
        <v>0</v>
      </c>
      <c r="D123" s="464">
        <f>'G-2 Habitat groups'!T150</f>
        <v>0</v>
      </c>
      <c r="E123" s="464">
        <f>'G-2 Habitat groups'!AA150</f>
        <v>0</v>
      </c>
      <c r="F123" s="464">
        <f>'G-2 Habitat groups'!AB150</f>
        <v>0</v>
      </c>
      <c r="G123" s="464">
        <f t="shared" si="15"/>
        <v>0</v>
      </c>
      <c r="H123" s="464">
        <f t="shared" si="16"/>
        <v>0</v>
      </c>
    </row>
    <row r="124" spans="1:8" ht="15.6">
      <c r="A124" s="797"/>
      <c r="B124" s="329" t="s">
        <v>114</v>
      </c>
      <c r="C124" s="464">
        <f>'G-2 Habitat groups'!S151</f>
        <v>0</v>
      </c>
      <c r="D124" s="464">
        <f>'G-2 Habitat groups'!T151</f>
        <v>0</v>
      </c>
      <c r="E124" s="464">
        <f>'G-2 Habitat groups'!AA151</f>
        <v>0</v>
      </c>
      <c r="F124" s="464">
        <f>'G-2 Habitat groups'!AB151</f>
        <v>0</v>
      </c>
      <c r="G124" s="464">
        <f t="shared" si="15"/>
        <v>0</v>
      </c>
      <c r="H124" s="464">
        <f t="shared" si="16"/>
        <v>0</v>
      </c>
    </row>
    <row r="125" spans="1:8" ht="15.6">
      <c r="A125" s="797"/>
      <c r="B125" s="329" t="s">
        <v>115</v>
      </c>
      <c r="C125" s="464">
        <f>'G-2 Habitat groups'!S152</f>
        <v>0</v>
      </c>
      <c r="D125" s="464">
        <f>'G-2 Habitat groups'!T152</f>
        <v>0</v>
      </c>
      <c r="E125" s="464">
        <f>'G-2 Habitat groups'!AA152</f>
        <v>0</v>
      </c>
      <c r="F125" s="464">
        <f>'G-2 Habitat groups'!AB152</f>
        <v>0</v>
      </c>
      <c r="G125" s="464">
        <f t="shared" si="15"/>
        <v>0</v>
      </c>
      <c r="H125" s="464">
        <f t="shared" si="16"/>
        <v>0</v>
      </c>
    </row>
    <row r="126" spans="1:8" ht="15.6">
      <c r="A126" s="797"/>
      <c r="B126" s="330" t="s">
        <v>116</v>
      </c>
      <c r="C126" s="464">
        <f>'G-2 Habitat groups'!S153</f>
        <v>0</v>
      </c>
      <c r="D126" s="464">
        <f>'G-2 Habitat groups'!T153</f>
        <v>0</v>
      </c>
      <c r="E126" s="464">
        <f>'G-2 Habitat groups'!AA153</f>
        <v>0</v>
      </c>
      <c r="F126" s="464">
        <f>'G-2 Habitat groups'!AB153</f>
        <v>0</v>
      </c>
      <c r="G126" s="464">
        <f t="shared" si="15"/>
        <v>0</v>
      </c>
      <c r="H126" s="464">
        <f t="shared" si="16"/>
        <v>0</v>
      </c>
    </row>
    <row r="127" spans="1:8" ht="15.6">
      <c r="A127" s="797"/>
      <c r="B127" s="331" t="s">
        <v>117</v>
      </c>
      <c r="C127" s="464">
        <f>'G-2 Habitat groups'!S154</f>
        <v>0</v>
      </c>
      <c r="D127" s="464">
        <f>'G-2 Habitat groups'!T154</f>
        <v>0</v>
      </c>
      <c r="E127" s="464">
        <f>'G-2 Habitat groups'!AA154</f>
        <v>0</v>
      </c>
      <c r="F127" s="464">
        <f>'G-2 Habitat groups'!AB154</f>
        <v>0</v>
      </c>
      <c r="G127" s="464">
        <f t="shared" si="15"/>
        <v>0</v>
      </c>
      <c r="H127" s="464">
        <f t="shared" si="16"/>
        <v>0</v>
      </c>
    </row>
    <row r="128" spans="1:8" ht="15.6">
      <c r="A128" s="797"/>
      <c r="B128" s="331" t="s">
        <v>118</v>
      </c>
      <c r="C128" s="464">
        <f>'G-2 Habitat groups'!S155</f>
        <v>0</v>
      </c>
      <c r="D128" s="464">
        <f>'G-2 Habitat groups'!T155</f>
        <v>0</v>
      </c>
      <c r="E128" s="464">
        <f>'G-2 Habitat groups'!AA155</f>
        <v>0</v>
      </c>
      <c r="F128" s="464">
        <f>'G-2 Habitat groups'!AB155</f>
        <v>0</v>
      </c>
      <c r="G128" s="464">
        <f t="shared" si="15"/>
        <v>0</v>
      </c>
      <c r="H128" s="464">
        <f t="shared" si="16"/>
        <v>0</v>
      </c>
    </row>
    <row r="129" spans="1:8" ht="15.6">
      <c r="A129" s="797"/>
      <c r="B129" s="331" t="s">
        <v>119</v>
      </c>
      <c r="C129" s="464">
        <f>'G-2 Habitat groups'!S156</f>
        <v>0</v>
      </c>
      <c r="D129" s="464">
        <f>'G-2 Habitat groups'!T156</f>
        <v>0</v>
      </c>
      <c r="E129" s="464">
        <f>'G-2 Habitat groups'!AA156</f>
        <v>0</v>
      </c>
      <c r="F129" s="464">
        <f>'G-2 Habitat groups'!AB156</f>
        <v>0</v>
      </c>
      <c r="G129" s="464">
        <f t="shared" si="15"/>
        <v>0</v>
      </c>
      <c r="H129" s="464">
        <f t="shared" si="16"/>
        <v>0</v>
      </c>
    </row>
    <row r="130" spans="1:8" ht="15.6">
      <c r="A130" s="797"/>
      <c r="B130" s="331" t="s">
        <v>132</v>
      </c>
      <c r="C130" s="464">
        <f>'G-2 Habitat groups'!S157</f>
        <v>0</v>
      </c>
      <c r="D130" s="464">
        <f>'G-2 Habitat groups'!T157</f>
        <v>0</v>
      </c>
      <c r="E130" s="464">
        <f>'G-2 Habitat groups'!AA157</f>
        <v>0</v>
      </c>
      <c r="F130" s="464">
        <f>'G-2 Habitat groups'!AB157</f>
        <v>0</v>
      </c>
      <c r="G130" s="464">
        <f t="shared" si="15"/>
        <v>0</v>
      </c>
      <c r="H130" s="464">
        <f t="shared" si="16"/>
        <v>0</v>
      </c>
    </row>
    <row r="131" spans="1:8" ht="15.6">
      <c r="A131" s="797"/>
      <c r="B131" s="331" t="s">
        <v>121</v>
      </c>
      <c r="C131" s="464">
        <f>'G-2 Habitat groups'!S158</f>
        <v>0</v>
      </c>
      <c r="D131" s="464">
        <f>'G-2 Habitat groups'!T158</f>
        <v>0</v>
      </c>
      <c r="E131" s="464">
        <f>'G-2 Habitat groups'!AA158</f>
        <v>0</v>
      </c>
      <c r="F131" s="464">
        <f>'G-2 Habitat groups'!AB158</f>
        <v>0</v>
      </c>
      <c r="G131" s="464">
        <f t="shared" si="15"/>
        <v>0</v>
      </c>
      <c r="H131" s="464">
        <f t="shared" si="16"/>
        <v>0</v>
      </c>
    </row>
    <row r="132" spans="1:8">
      <c r="A132" s="797"/>
      <c r="B132" s="40"/>
      <c r="C132" s="40"/>
    </row>
    <row r="133" spans="1:8">
      <c r="A133" s="797"/>
      <c r="B133" s="40"/>
      <c r="C133" s="40"/>
    </row>
    <row r="134" spans="1:8">
      <c r="A134" s="797"/>
      <c r="B134" s="40"/>
      <c r="C134" s="40"/>
    </row>
    <row r="135" spans="1:8" ht="14.45" thickBot="1">
      <c r="A135" s="797"/>
      <c r="B135" s="40"/>
      <c r="C135" s="40"/>
    </row>
    <row r="136" spans="1:8" ht="18" thickBot="1">
      <c r="A136" s="797"/>
      <c r="B136" s="805" t="s">
        <v>133</v>
      </c>
      <c r="C136" s="805"/>
      <c r="D136" s="805"/>
      <c r="E136" s="805"/>
      <c r="F136" s="805"/>
      <c r="G136" s="805"/>
      <c r="H136" s="805"/>
    </row>
    <row r="137" spans="1:8" ht="16.149999999999999" thickBot="1">
      <c r="A137" s="797"/>
      <c r="B137" s="35"/>
      <c r="C137" s="788" t="s">
        <v>58</v>
      </c>
      <c r="D137" s="788"/>
      <c r="E137" s="788" t="s">
        <v>59</v>
      </c>
      <c r="F137" s="788"/>
      <c r="G137" s="788" t="s">
        <v>60</v>
      </c>
      <c r="H137" s="788"/>
    </row>
    <row r="138" spans="1:8" ht="31.9" thickBot="1">
      <c r="A138" s="797"/>
      <c r="B138" s="323" t="s">
        <v>101</v>
      </c>
      <c r="C138" s="35" t="s">
        <v>134</v>
      </c>
      <c r="D138" s="35" t="s">
        <v>63</v>
      </c>
      <c r="E138" s="35" t="s">
        <v>135</v>
      </c>
      <c r="F138" s="35" t="s">
        <v>65</v>
      </c>
      <c r="G138" s="35" t="s">
        <v>136</v>
      </c>
      <c r="H138" s="35" t="s">
        <v>67</v>
      </c>
    </row>
    <row r="139" spans="1:8" ht="31.15">
      <c r="A139" s="797"/>
      <c r="B139" s="335" t="s">
        <v>109</v>
      </c>
      <c r="C139" s="466">
        <f>C99+C119</f>
        <v>0</v>
      </c>
      <c r="D139" s="466">
        <f t="shared" ref="D139:H139" si="17">D99+D119</f>
        <v>0</v>
      </c>
      <c r="E139" s="466">
        <f t="shared" si="17"/>
        <v>0</v>
      </c>
      <c r="F139" s="466">
        <f t="shared" si="17"/>
        <v>0</v>
      </c>
      <c r="G139" s="466">
        <f>G99+G119</f>
        <v>0</v>
      </c>
      <c r="H139" s="466">
        <f t="shared" si="17"/>
        <v>0</v>
      </c>
    </row>
    <row r="140" spans="1:8" ht="15.6">
      <c r="A140" s="797"/>
      <c r="B140" s="336" t="s">
        <v>110</v>
      </c>
      <c r="C140" s="466">
        <f t="shared" ref="C140:H140" si="18">C100+C120</f>
        <v>0</v>
      </c>
      <c r="D140" s="466">
        <f t="shared" si="18"/>
        <v>0</v>
      </c>
      <c r="E140" s="466">
        <f t="shared" si="18"/>
        <v>0</v>
      </c>
      <c r="F140" s="466">
        <f t="shared" si="18"/>
        <v>0</v>
      </c>
      <c r="G140" s="466">
        <f t="shared" si="18"/>
        <v>0</v>
      </c>
      <c r="H140" s="466">
        <f t="shared" si="18"/>
        <v>0</v>
      </c>
    </row>
    <row r="141" spans="1:8" ht="15.6">
      <c r="A141" s="797"/>
      <c r="B141" s="336" t="s">
        <v>111</v>
      </c>
      <c r="C141" s="466">
        <f>C101+C121</f>
        <v>0</v>
      </c>
      <c r="D141" s="466">
        <f t="shared" ref="D141:H141" si="19">D101+D121</f>
        <v>0</v>
      </c>
      <c r="E141" s="466">
        <f t="shared" si="19"/>
        <v>0</v>
      </c>
      <c r="F141" s="466">
        <f t="shared" si="19"/>
        <v>0</v>
      </c>
      <c r="G141" s="466">
        <f t="shared" si="19"/>
        <v>0</v>
      </c>
      <c r="H141" s="466">
        <f t="shared" si="19"/>
        <v>0</v>
      </c>
    </row>
    <row r="142" spans="1:8" ht="15.6">
      <c r="A142" s="797"/>
      <c r="B142" s="336" t="s">
        <v>112</v>
      </c>
      <c r="C142" s="466">
        <f t="shared" ref="C142:H142" si="20">C102+C122</f>
        <v>0</v>
      </c>
      <c r="D142" s="466">
        <f t="shared" si="20"/>
        <v>0</v>
      </c>
      <c r="E142" s="466">
        <f t="shared" si="20"/>
        <v>0</v>
      </c>
      <c r="F142" s="466">
        <f t="shared" si="20"/>
        <v>0</v>
      </c>
      <c r="G142" s="466">
        <f t="shared" si="20"/>
        <v>0</v>
      </c>
      <c r="H142" s="466">
        <f t="shared" si="20"/>
        <v>0</v>
      </c>
    </row>
    <row r="143" spans="1:8" ht="15.6">
      <c r="A143" s="797"/>
      <c r="B143" s="336" t="s">
        <v>113</v>
      </c>
      <c r="C143" s="466">
        <f t="shared" ref="C143:H143" si="21">C103+C123</f>
        <v>0</v>
      </c>
      <c r="D143" s="466">
        <f t="shared" si="21"/>
        <v>0</v>
      </c>
      <c r="E143" s="466">
        <f t="shared" si="21"/>
        <v>0.44400000000000001</v>
      </c>
      <c r="F143" s="466">
        <f t="shared" ca="1" si="21"/>
        <v>4.3536193137312003</v>
      </c>
      <c r="G143" s="466">
        <f t="shared" si="21"/>
        <v>0.44400000000000001</v>
      </c>
      <c r="H143" s="466">
        <f t="shared" ca="1" si="21"/>
        <v>4.3536193137312003</v>
      </c>
    </row>
    <row r="144" spans="1:8" ht="15.6">
      <c r="A144" s="797"/>
      <c r="B144" s="336" t="s">
        <v>114</v>
      </c>
      <c r="C144" s="466">
        <f t="shared" ref="C144:H144" si="22">C104+C124</f>
        <v>0</v>
      </c>
      <c r="D144" s="466">
        <f t="shared" si="22"/>
        <v>0</v>
      </c>
      <c r="E144" s="466">
        <f t="shared" si="22"/>
        <v>0</v>
      </c>
      <c r="F144" s="466">
        <f t="shared" si="22"/>
        <v>0</v>
      </c>
      <c r="G144" s="466">
        <f t="shared" si="22"/>
        <v>0</v>
      </c>
      <c r="H144" s="466">
        <f t="shared" si="22"/>
        <v>0</v>
      </c>
    </row>
    <row r="145" spans="1:12" ht="15.6">
      <c r="A145" s="797"/>
      <c r="B145" s="336" t="s">
        <v>115</v>
      </c>
      <c r="C145" s="466">
        <f t="shared" ref="C145:H145" si="23">C105+C125</f>
        <v>0</v>
      </c>
      <c r="D145" s="466">
        <f t="shared" si="23"/>
        <v>0</v>
      </c>
      <c r="E145" s="466">
        <f t="shared" si="23"/>
        <v>0</v>
      </c>
      <c r="F145" s="466">
        <f t="shared" si="23"/>
        <v>0</v>
      </c>
      <c r="G145" s="466">
        <f t="shared" si="23"/>
        <v>0</v>
      </c>
      <c r="H145" s="466">
        <f t="shared" si="23"/>
        <v>0</v>
      </c>
    </row>
    <row r="146" spans="1:12" ht="15.6">
      <c r="A146" s="797"/>
      <c r="B146" s="336" t="s">
        <v>116</v>
      </c>
      <c r="C146" s="466">
        <f t="shared" ref="C146:H146" si="24">C106+C126</f>
        <v>0</v>
      </c>
      <c r="D146" s="466">
        <f t="shared" si="24"/>
        <v>0</v>
      </c>
      <c r="E146" s="466">
        <f t="shared" si="24"/>
        <v>0</v>
      </c>
      <c r="F146" s="466">
        <f t="shared" si="24"/>
        <v>0</v>
      </c>
      <c r="G146" s="466">
        <f t="shared" si="24"/>
        <v>0</v>
      </c>
      <c r="H146" s="466">
        <f t="shared" si="24"/>
        <v>0</v>
      </c>
    </row>
    <row r="147" spans="1:12" ht="15.6">
      <c r="A147" s="797"/>
      <c r="B147" s="331" t="s">
        <v>117</v>
      </c>
      <c r="C147" s="466">
        <f t="shared" ref="C147:H147" si="25">C107+C127</f>
        <v>0</v>
      </c>
      <c r="D147" s="466">
        <f t="shared" si="25"/>
        <v>0</v>
      </c>
      <c r="E147" s="466">
        <f t="shared" si="25"/>
        <v>0</v>
      </c>
      <c r="F147" s="466">
        <f t="shared" si="25"/>
        <v>0</v>
      </c>
      <c r="G147" s="466">
        <f t="shared" si="25"/>
        <v>0</v>
      </c>
      <c r="H147" s="466">
        <f t="shared" si="25"/>
        <v>0</v>
      </c>
    </row>
    <row r="148" spans="1:12" ht="15.6">
      <c r="A148" s="797"/>
      <c r="B148" s="331" t="s">
        <v>118</v>
      </c>
      <c r="C148" s="466">
        <f t="shared" ref="C148:H148" si="26">C108+C128</f>
        <v>0.68399999999999994</v>
      </c>
      <c r="D148" s="466">
        <f t="shared" si="26"/>
        <v>2.7359999999999998</v>
      </c>
      <c r="E148" s="466">
        <f t="shared" si="26"/>
        <v>0</v>
      </c>
      <c r="F148" s="466">
        <f t="shared" si="26"/>
        <v>0</v>
      </c>
      <c r="G148" s="466">
        <f t="shared" si="26"/>
        <v>-0.68399999999999994</v>
      </c>
      <c r="H148" s="466">
        <f t="shared" si="26"/>
        <v>-2.7359999999999998</v>
      </c>
    </row>
    <row r="149" spans="1:12" ht="15.6">
      <c r="A149" s="797"/>
      <c r="B149" s="331" t="s">
        <v>119</v>
      </c>
      <c r="C149" s="466">
        <f t="shared" ref="C149:H149" si="27">C109+C129</f>
        <v>0</v>
      </c>
      <c r="D149" s="466">
        <f t="shared" si="27"/>
        <v>0</v>
      </c>
      <c r="E149" s="466">
        <f t="shared" si="27"/>
        <v>0.69</v>
      </c>
      <c r="F149" s="466">
        <f t="shared" si="27"/>
        <v>1.3239584874539998</v>
      </c>
      <c r="G149" s="466">
        <f t="shared" si="27"/>
        <v>0.69</v>
      </c>
      <c r="H149" s="466">
        <f t="shared" si="27"/>
        <v>1.3239584874539998</v>
      </c>
    </row>
    <row r="150" spans="1:12" ht="15.6">
      <c r="A150" s="797"/>
      <c r="B150" s="331" t="s">
        <v>132</v>
      </c>
      <c r="C150" s="466">
        <f t="shared" ref="C150:H150" si="28">C110+C130</f>
        <v>0</v>
      </c>
      <c r="D150" s="466">
        <f t="shared" si="28"/>
        <v>0</v>
      </c>
      <c r="E150" s="466">
        <f t="shared" si="28"/>
        <v>0</v>
      </c>
      <c r="F150" s="466">
        <f t="shared" si="28"/>
        <v>0</v>
      </c>
      <c r="G150" s="466">
        <f t="shared" si="28"/>
        <v>0</v>
      </c>
      <c r="H150" s="466">
        <f t="shared" si="28"/>
        <v>0</v>
      </c>
    </row>
    <row r="151" spans="1:12" ht="15.6">
      <c r="A151" s="797"/>
      <c r="B151" s="331" t="s">
        <v>121</v>
      </c>
      <c r="C151" s="466">
        <f t="shared" ref="C151:H151" si="29">C111+C131</f>
        <v>0</v>
      </c>
      <c r="D151" s="466">
        <f t="shared" si="29"/>
        <v>0</v>
      </c>
      <c r="E151" s="466">
        <f t="shared" si="29"/>
        <v>0</v>
      </c>
      <c r="F151" s="466">
        <f t="shared" si="29"/>
        <v>0</v>
      </c>
      <c r="G151" s="466">
        <f t="shared" si="29"/>
        <v>0</v>
      </c>
      <c r="H151" s="466">
        <f t="shared" si="29"/>
        <v>0</v>
      </c>
    </row>
    <row r="152" spans="1:12">
      <c r="A152" s="797"/>
    </row>
    <row r="153" spans="1:12" ht="14.45" thickBot="1">
      <c r="A153" s="798"/>
    </row>
    <row r="154" spans="1:12" s="333" customFormat="1" ht="31.9" customHeight="1" thickTop="1">
      <c r="A154" s="799" t="s">
        <v>137</v>
      </c>
    </row>
    <row r="155" spans="1:12" ht="14.45" thickBot="1">
      <c r="A155" s="800"/>
    </row>
    <row r="156" spans="1:12" ht="25.9" thickBot="1">
      <c r="A156" s="800"/>
      <c r="B156" s="825" t="s">
        <v>138</v>
      </c>
      <c r="C156" s="826"/>
      <c r="D156" s="827"/>
    </row>
    <row r="157" spans="1:12">
      <c r="A157" s="800"/>
    </row>
    <row r="158" spans="1:12" ht="14.45" thickBot="1">
      <c r="A158" s="800"/>
    </row>
    <row r="159" spans="1:12" ht="18" thickBot="1">
      <c r="A159" s="800"/>
      <c r="B159" s="805" t="s">
        <v>139</v>
      </c>
      <c r="C159" s="805"/>
      <c r="D159" s="805"/>
      <c r="E159" s="805"/>
      <c r="F159" s="805"/>
      <c r="G159" s="805"/>
      <c r="H159" s="805"/>
      <c r="J159" s="809" t="s">
        <v>100</v>
      </c>
      <c r="K159" s="810"/>
      <c r="L159" s="811"/>
    </row>
    <row r="160" spans="1:12" ht="16.149999999999999" thickBot="1">
      <c r="A160" s="800"/>
      <c r="B160" s="35"/>
      <c r="C160" s="788" t="s">
        <v>58</v>
      </c>
      <c r="D160" s="788"/>
      <c r="E160" s="788" t="s">
        <v>59</v>
      </c>
      <c r="F160" s="788"/>
      <c r="G160" s="788" t="s">
        <v>60</v>
      </c>
      <c r="H160" s="788"/>
      <c r="J160" s="812"/>
      <c r="K160" s="813"/>
      <c r="L160" s="814"/>
    </row>
    <row r="161" spans="1:12" ht="31.9" thickBot="1">
      <c r="A161" s="800"/>
      <c r="B161" s="323" t="s">
        <v>140</v>
      </c>
      <c r="C161" s="35" t="s">
        <v>134</v>
      </c>
      <c r="D161" s="35" t="s">
        <v>63</v>
      </c>
      <c r="E161" s="35" t="s">
        <v>135</v>
      </c>
      <c r="F161" s="35" t="s">
        <v>65</v>
      </c>
      <c r="G161" s="35" t="s">
        <v>136</v>
      </c>
      <c r="H161" s="35" t="s">
        <v>67</v>
      </c>
      <c r="J161" s="815" t="s">
        <v>68</v>
      </c>
      <c r="K161" s="817" t="s">
        <v>107</v>
      </c>
      <c r="L161" s="819" t="s">
        <v>108</v>
      </c>
    </row>
    <row r="162" spans="1:12" ht="15.6">
      <c r="A162" s="800"/>
      <c r="B162" s="328" t="s">
        <v>141</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6">
      <c r="A163" s="800"/>
      <c r="B163" s="329" t="s">
        <v>142</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6">
      <c r="A164" s="800"/>
      <c r="B164" s="329" t="s">
        <v>143</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6">
      <c r="A165" s="800"/>
      <c r="B165" s="329" t="s">
        <v>144</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6">
      <c r="A166" s="800"/>
      <c r="B166" s="329" t="s">
        <v>145</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c r="A168" s="800"/>
      <c r="J168" s="802"/>
      <c r="K168" s="804"/>
      <c r="L168" s="808"/>
    </row>
    <row r="169" spans="1:12">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c r="A170" s="800"/>
      <c r="J170" s="802"/>
      <c r="K170" s="804"/>
      <c r="L170" s="808"/>
    </row>
    <row r="171" spans="1:12">
      <c r="A171" s="800"/>
    </row>
    <row r="172" spans="1:12">
      <c r="A172" s="800"/>
    </row>
    <row r="173" spans="1:12">
      <c r="A173" s="800"/>
    </row>
    <row r="174" spans="1:12">
      <c r="A174" s="800"/>
    </row>
    <row r="175" spans="1:12">
      <c r="A175" s="800"/>
    </row>
    <row r="176" spans="1:12">
      <c r="A176" s="800"/>
    </row>
    <row r="177" spans="1:8">
      <c r="A177" s="800"/>
    </row>
    <row r="178" spans="1:8" ht="14.45" thickBot="1">
      <c r="A178" s="800"/>
    </row>
    <row r="179" spans="1:8" ht="18" thickBot="1">
      <c r="A179" s="800"/>
      <c r="B179" s="805" t="s">
        <v>146</v>
      </c>
      <c r="C179" s="805"/>
      <c r="D179" s="805"/>
      <c r="E179" s="805"/>
      <c r="F179" s="805"/>
      <c r="G179" s="805"/>
      <c r="H179" s="805"/>
    </row>
    <row r="180" spans="1:8" ht="16.149999999999999" thickBot="1">
      <c r="A180" s="800"/>
      <c r="B180" s="35"/>
      <c r="C180" s="788" t="s">
        <v>58</v>
      </c>
      <c r="D180" s="788"/>
      <c r="E180" s="788" t="s">
        <v>147</v>
      </c>
      <c r="F180" s="788"/>
      <c r="G180" s="788" t="s">
        <v>86</v>
      </c>
      <c r="H180" s="788"/>
    </row>
    <row r="181" spans="1:8" ht="47.45" thickBot="1">
      <c r="A181" s="800"/>
      <c r="B181" s="323" t="s">
        <v>140</v>
      </c>
      <c r="C181" s="35" t="s">
        <v>126</v>
      </c>
      <c r="D181" s="35" t="s">
        <v>127</v>
      </c>
      <c r="E181" s="35" t="s">
        <v>128</v>
      </c>
      <c r="F181" s="35" t="s">
        <v>129</v>
      </c>
      <c r="G181" s="35" t="s">
        <v>130</v>
      </c>
      <c r="H181" s="35" t="s">
        <v>91</v>
      </c>
    </row>
    <row r="182" spans="1:8" ht="15.6">
      <c r="A182" s="800"/>
      <c r="B182" s="328" t="s">
        <v>141</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6">
      <c r="A183" s="800"/>
      <c r="B183" s="329" t="s">
        <v>142</v>
      </c>
      <c r="C183" s="471">
        <f>'G-2 Habitat groups'!S169</f>
        <v>0</v>
      </c>
      <c r="D183" s="471">
        <f>'G-2 Habitat groups'!T169</f>
        <v>0</v>
      </c>
      <c r="E183" s="471">
        <f>'G-2 Habitat groups'!AA169</f>
        <v>0</v>
      </c>
      <c r="F183" s="471">
        <f>'G-2 Habitat groups'!AB210</f>
        <v>0</v>
      </c>
      <c r="G183" s="471">
        <f t="shared" si="36"/>
        <v>0</v>
      </c>
      <c r="H183" s="471">
        <f t="shared" si="37"/>
        <v>0</v>
      </c>
    </row>
    <row r="184" spans="1:8" ht="15.6">
      <c r="A184" s="800"/>
      <c r="B184" s="329" t="s">
        <v>143</v>
      </c>
      <c r="C184" s="471">
        <f>'G-2 Habitat groups'!S170</f>
        <v>0</v>
      </c>
      <c r="D184" s="471">
        <f>'G-2 Habitat groups'!T170</f>
        <v>0</v>
      </c>
      <c r="E184" s="471">
        <f>'G-2 Habitat groups'!AA170</f>
        <v>0</v>
      </c>
      <c r="F184" s="471">
        <f>'G-2 Habitat groups'!AB211</f>
        <v>0</v>
      </c>
      <c r="G184" s="471">
        <f t="shared" si="36"/>
        <v>0</v>
      </c>
      <c r="H184" s="471">
        <f t="shared" si="37"/>
        <v>0</v>
      </c>
    </row>
    <row r="185" spans="1:8" ht="15.6">
      <c r="A185" s="800"/>
      <c r="B185" s="329" t="s">
        <v>144</v>
      </c>
      <c r="C185" s="471">
        <f>'G-2 Habitat groups'!S171</f>
        <v>0</v>
      </c>
      <c r="D185" s="471">
        <f>'G-2 Habitat groups'!T171</f>
        <v>0</v>
      </c>
      <c r="E185" s="471">
        <f>'G-2 Habitat groups'!AA171</f>
        <v>0</v>
      </c>
      <c r="F185" s="471">
        <f>'G-2 Habitat groups'!AB212</f>
        <v>0</v>
      </c>
      <c r="G185" s="471">
        <f t="shared" si="36"/>
        <v>0</v>
      </c>
      <c r="H185" s="471">
        <f t="shared" si="37"/>
        <v>0</v>
      </c>
    </row>
    <row r="186" spans="1:8" ht="15.6">
      <c r="A186" s="800"/>
      <c r="B186" s="329" t="s">
        <v>145</v>
      </c>
      <c r="C186" s="471">
        <f>'G-2 Habitat groups'!S172</f>
        <v>0</v>
      </c>
      <c r="D186" s="471">
        <f>'G-2 Habitat groups'!T172</f>
        <v>0</v>
      </c>
      <c r="E186" s="471">
        <f>'G-2 Habitat groups'!AA172</f>
        <v>0</v>
      </c>
      <c r="F186" s="471">
        <f>'G-2 Habitat groups'!AB213</f>
        <v>0</v>
      </c>
      <c r="G186" s="471">
        <f t="shared" si="36"/>
        <v>0</v>
      </c>
      <c r="H186" s="471">
        <f t="shared" si="37"/>
        <v>0</v>
      </c>
    </row>
    <row r="187" spans="1:8">
      <c r="A187" s="800"/>
      <c r="B187" s="40"/>
      <c r="C187" s="40"/>
      <c r="D187" s="40"/>
      <c r="E187" s="40"/>
      <c r="F187" s="40"/>
      <c r="G187" s="40"/>
      <c r="H187" s="40"/>
    </row>
    <row r="188" spans="1:8">
      <c r="A188" s="800"/>
      <c r="B188" s="40"/>
      <c r="C188" s="40"/>
      <c r="D188" s="40"/>
      <c r="E188" s="40"/>
      <c r="F188" s="40"/>
      <c r="G188" s="40"/>
      <c r="H188" s="40"/>
    </row>
    <row r="189" spans="1:8">
      <c r="A189" s="800"/>
      <c r="B189" s="40"/>
      <c r="C189" s="40"/>
      <c r="D189" s="40"/>
      <c r="E189" s="40"/>
      <c r="F189" s="40"/>
      <c r="G189" s="40"/>
      <c r="H189" s="40"/>
    </row>
    <row r="190" spans="1:8">
      <c r="A190" s="800"/>
      <c r="B190" s="40"/>
      <c r="C190" s="40"/>
      <c r="D190" s="40"/>
      <c r="E190" s="40"/>
      <c r="F190" s="40"/>
      <c r="G190" s="40"/>
      <c r="H190" s="40"/>
    </row>
    <row r="191" spans="1:8">
      <c r="A191" s="800"/>
      <c r="B191" s="40"/>
      <c r="C191" s="40"/>
      <c r="D191" s="40"/>
      <c r="E191" s="40"/>
      <c r="F191" s="40"/>
      <c r="G191" s="40"/>
      <c r="H191" s="40"/>
    </row>
    <row r="192" spans="1:8">
      <c r="A192" s="800"/>
      <c r="B192" s="40"/>
      <c r="C192" s="40"/>
      <c r="D192" s="40"/>
      <c r="E192" s="40"/>
      <c r="F192" s="40"/>
      <c r="G192" s="40"/>
      <c r="H192" s="40"/>
    </row>
    <row r="193" spans="1:8">
      <c r="A193" s="800"/>
      <c r="B193" s="40"/>
      <c r="C193" s="40"/>
      <c r="D193" s="40"/>
      <c r="E193" s="40"/>
      <c r="F193" s="40"/>
      <c r="G193" s="40"/>
      <c r="H193" s="40"/>
    </row>
    <row r="194" spans="1:8">
      <c r="A194" s="800"/>
      <c r="B194" s="40"/>
      <c r="C194" s="40"/>
      <c r="D194" s="40"/>
      <c r="E194" s="40"/>
      <c r="F194" s="40"/>
      <c r="G194" s="40"/>
      <c r="H194" s="40"/>
    </row>
    <row r="195" spans="1:8">
      <c r="A195" s="800"/>
      <c r="B195" s="40"/>
      <c r="C195" s="40"/>
    </row>
    <row r="196" spans="1:8">
      <c r="A196" s="800"/>
      <c r="B196" s="40"/>
      <c r="C196" s="40"/>
    </row>
    <row r="197" spans="1:8">
      <c r="A197" s="800"/>
      <c r="B197" s="40"/>
      <c r="C197" s="40"/>
    </row>
    <row r="198" spans="1:8" ht="14.45" thickBot="1">
      <c r="A198" s="800"/>
      <c r="B198" s="40"/>
      <c r="C198" s="40"/>
    </row>
    <row r="199" spans="1:8" ht="18" thickBot="1">
      <c r="A199" s="800"/>
      <c r="B199" s="805" t="s">
        <v>148</v>
      </c>
      <c r="C199" s="805"/>
      <c r="D199" s="805"/>
      <c r="E199" s="805"/>
      <c r="F199" s="805"/>
      <c r="G199" s="805"/>
      <c r="H199" s="805"/>
    </row>
    <row r="200" spans="1:8" ht="16.149999999999999" thickBot="1">
      <c r="A200" s="800"/>
      <c r="B200" s="35"/>
      <c r="C200" s="788" t="s">
        <v>58</v>
      </c>
      <c r="D200" s="788"/>
      <c r="E200" s="788" t="s">
        <v>59</v>
      </c>
      <c r="F200" s="788"/>
      <c r="G200" s="788" t="s">
        <v>60</v>
      </c>
      <c r="H200" s="788"/>
    </row>
    <row r="201" spans="1:8" ht="31.9" thickBot="1">
      <c r="A201" s="800"/>
      <c r="B201" s="323" t="s">
        <v>140</v>
      </c>
      <c r="C201" s="35" t="s">
        <v>134</v>
      </c>
      <c r="D201" s="35" t="s">
        <v>63</v>
      </c>
      <c r="E201" s="35" t="s">
        <v>135</v>
      </c>
      <c r="F201" s="35" t="s">
        <v>65</v>
      </c>
      <c r="G201" s="35" t="s">
        <v>136</v>
      </c>
      <c r="H201" s="35" t="s">
        <v>67</v>
      </c>
    </row>
    <row r="202" spans="1:8" ht="15.6">
      <c r="A202" s="800"/>
      <c r="B202" s="328" t="s">
        <v>141</v>
      </c>
      <c r="C202" s="471">
        <f>C162+C182</f>
        <v>0</v>
      </c>
      <c r="D202" s="471">
        <f t="shared" ref="D202:H202" si="38">D162+D182</f>
        <v>0</v>
      </c>
      <c r="E202" s="471">
        <f t="shared" si="38"/>
        <v>0</v>
      </c>
      <c r="F202" s="471">
        <f t="shared" si="38"/>
        <v>0</v>
      </c>
      <c r="G202" s="471">
        <f t="shared" si="38"/>
        <v>0</v>
      </c>
      <c r="H202" s="471">
        <f t="shared" si="38"/>
        <v>0</v>
      </c>
    </row>
    <row r="203" spans="1:8" ht="15.6">
      <c r="A203" s="800"/>
      <c r="B203" s="329" t="s">
        <v>142</v>
      </c>
      <c r="C203" s="471">
        <f>C163+C183</f>
        <v>0</v>
      </c>
      <c r="D203" s="471">
        <f t="shared" ref="D203:H203" si="39">D163+D183</f>
        <v>0</v>
      </c>
      <c r="E203" s="471">
        <f t="shared" si="39"/>
        <v>0</v>
      </c>
      <c r="F203" s="471">
        <f t="shared" si="39"/>
        <v>0</v>
      </c>
      <c r="G203" s="471">
        <f t="shared" si="39"/>
        <v>0</v>
      </c>
      <c r="H203" s="471">
        <f t="shared" si="39"/>
        <v>0</v>
      </c>
    </row>
    <row r="204" spans="1:8" ht="15.6">
      <c r="A204" s="800"/>
      <c r="B204" s="329" t="s">
        <v>143</v>
      </c>
      <c r="C204" s="471">
        <f t="shared" ref="C204:H204" si="40">C164+C184</f>
        <v>0</v>
      </c>
      <c r="D204" s="471">
        <f t="shared" si="40"/>
        <v>0</v>
      </c>
      <c r="E204" s="471">
        <f t="shared" si="40"/>
        <v>0</v>
      </c>
      <c r="F204" s="471">
        <f t="shared" si="40"/>
        <v>0</v>
      </c>
      <c r="G204" s="471">
        <f t="shared" si="40"/>
        <v>0</v>
      </c>
      <c r="H204" s="471">
        <f t="shared" si="40"/>
        <v>0</v>
      </c>
    </row>
    <row r="205" spans="1:8" ht="15.6">
      <c r="A205" s="800"/>
      <c r="B205" s="329" t="s">
        <v>144</v>
      </c>
      <c r="C205" s="471">
        <f t="shared" ref="C205:H205" si="41">C165+C185</f>
        <v>0</v>
      </c>
      <c r="D205" s="471">
        <f t="shared" si="41"/>
        <v>0</v>
      </c>
      <c r="E205" s="471">
        <f t="shared" si="41"/>
        <v>0</v>
      </c>
      <c r="F205" s="471">
        <f t="shared" si="41"/>
        <v>0</v>
      </c>
      <c r="G205" s="471">
        <f t="shared" si="41"/>
        <v>0</v>
      </c>
      <c r="H205" s="471">
        <f t="shared" si="41"/>
        <v>0</v>
      </c>
    </row>
    <row r="206" spans="1:8" ht="15.6">
      <c r="A206" s="800"/>
      <c r="B206" s="329" t="s">
        <v>145</v>
      </c>
      <c r="C206" s="471">
        <f t="shared" ref="C206:H206" si="42">C166+C186</f>
        <v>0</v>
      </c>
      <c r="D206" s="471">
        <f t="shared" si="42"/>
        <v>0</v>
      </c>
      <c r="E206" s="471">
        <f t="shared" si="42"/>
        <v>0</v>
      </c>
      <c r="F206" s="471">
        <f t="shared" si="42"/>
        <v>0</v>
      </c>
      <c r="G206" s="471">
        <f t="shared" si="42"/>
        <v>0</v>
      </c>
      <c r="H206" s="471">
        <f t="shared" si="42"/>
        <v>0</v>
      </c>
    </row>
    <row r="207" spans="1:8">
      <c r="A207" s="800"/>
      <c r="B207" s="40"/>
      <c r="C207" s="40"/>
      <c r="D207" s="40"/>
      <c r="E207" s="40"/>
      <c r="F207" s="40"/>
      <c r="G207" s="40"/>
      <c r="H207" s="40"/>
    </row>
    <row r="208" spans="1:8">
      <c r="A208" s="800"/>
      <c r="B208" s="40"/>
      <c r="C208" s="40"/>
      <c r="D208" s="40"/>
      <c r="E208" s="40"/>
      <c r="F208" s="40"/>
      <c r="G208" s="40"/>
      <c r="H208" s="40"/>
    </row>
    <row r="209" spans="1:8">
      <c r="A209" s="800"/>
      <c r="B209" s="40"/>
      <c r="C209" s="40"/>
      <c r="D209" s="40"/>
      <c r="E209" s="40"/>
      <c r="F209" s="40"/>
      <c r="G209" s="40"/>
      <c r="H209" s="40"/>
    </row>
    <row r="210" spans="1:8">
      <c r="A210" s="800"/>
      <c r="B210" s="40"/>
      <c r="C210" s="40"/>
      <c r="D210" s="40"/>
      <c r="E210" s="40"/>
      <c r="F210" s="40"/>
      <c r="G210" s="40"/>
      <c r="H210" s="40"/>
    </row>
    <row r="211" spans="1:8">
      <c r="B211" s="40"/>
      <c r="C211" s="40"/>
      <c r="D211" s="40"/>
      <c r="E211" s="40"/>
      <c r="F211" s="40"/>
      <c r="G211" s="40"/>
      <c r="H211" s="40"/>
    </row>
    <row r="212" spans="1:8">
      <c r="B212" s="40"/>
      <c r="C212" s="40"/>
      <c r="D212" s="40"/>
      <c r="E212" s="40"/>
      <c r="F212" s="40"/>
      <c r="G212" s="40"/>
      <c r="H212" s="40"/>
    </row>
    <row r="213" spans="1:8">
      <c r="B213" s="40"/>
      <c r="C213" s="40"/>
      <c r="D213" s="40"/>
      <c r="E213" s="40"/>
      <c r="F213" s="40"/>
      <c r="G213" s="40"/>
      <c r="H213" s="40"/>
    </row>
    <row r="214" spans="1:8">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topLeftCell="A82" zoomScaleNormal="100" workbookViewId="0">
      <selection activeCell="B97" sqref="B97"/>
    </sheetView>
  </sheetViews>
  <sheetFormatPr defaultColWidth="0" defaultRowHeight="13.9" zeroHeight="1"/>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 thickBot="1">
      <c r="A1" s="452"/>
      <c r="B1" s="40"/>
      <c r="C1" s="40"/>
      <c r="D1" s="40"/>
      <c r="E1" s="40"/>
      <c r="G1" s="40"/>
      <c r="H1" s="40"/>
      <c r="I1" s="40"/>
      <c r="J1" s="40"/>
      <c r="K1" s="40"/>
      <c r="L1" s="40"/>
      <c r="M1" s="40"/>
      <c r="N1" s="40"/>
      <c r="O1" s="40"/>
      <c r="P1" s="40"/>
      <c r="Q1" s="40"/>
    </row>
    <row r="2" spans="1:17" ht="25.9" thickBot="1">
      <c r="A2" s="40"/>
      <c r="B2" s="863" t="s">
        <v>149</v>
      </c>
      <c r="C2" s="864"/>
      <c r="D2" s="864"/>
      <c r="E2" s="864"/>
      <c r="F2" s="864"/>
      <c r="G2" s="876"/>
      <c r="H2" s="40"/>
      <c r="I2" s="40"/>
      <c r="J2" s="40"/>
      <c r="K2" s="40"/>
      <c r="L2" s="40"/>
      <c r="M2" s="40"/>
      <c r="N2" s="40"/>
      <c r="O2" s="40"/>
      <c r="P2" s="40"/>
      <c r="Q2" s="40"/>
    </row>
    <row r="3" spans="1:17" ht="15" customHeight="1">
      <c r="A3" s="40"/>
      <c r="B3" s="879" t="s">
        <v>150</v>
      </c>
      <c r="C3" s="881" t="s">
        <v>151</v>
      </c>
      <c r="D3" s="881"/>
      <c r="E3" s="881"/>
      <c r="F3" s="881"/>
      <c r="G3" s="877" t="s">
        <v>152</v>
      </c>
      <c r="H3" s="271"/>
      <c r="I3" s="271"/>
      <c r="J3" s="271"/>
      <c r="K3" s="271"/>
      <c r="L3" s="40"/>
      <c r="M3" s="40"/>
      <c r="N3" s="40"/>
      <c r="O3" s="40"/>
      <c r="P3" s="40"/>
      <c r="Q3" s="40"/>
    </row>
    <row r="4" spans="1:17" ht="14.25" customHeight="1">
      <c r="A4" s="40"/>
      <c r="B4" s="880"/>
      <c r="C4" s="882"/>
      <c r="D4" s="882"/>
      <c r="E4" s="882"/>
      <c r="F4" s="882"/>
      <c r="G4" s="878"/>
      <c r="H4" s="271"/>
      <c r="I4" s="271"/>
      <c r="J4" s="271"/>
      <c r="K4" s="271"/>
      <c r="L4" s="40"/>
      <c r="M4" s="40"/>
      <c r="N4" s="40"/>
      <c r="O4" s="40"/>
      <c r="P4" s="40"/>
      <c r="Q4" s="40"/>
    </row>
    <row r="5" spans="1:17" ht="20.45">
      <c r="A5" s="40"/>
      <c r="B5" s="129" t="s">
        <v>153</v>
      </c>
      <c r="C5" s="883" t="s">
        <v>154</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c r="A6" s="40"/>
      <c r="B6" s="129" t="s">
        <v>155</v>
      </c>
      <c r="C6" s="884" t="s">
        <v>156</v>
      </c>
      <c r="D6" s="884"/>
      <c r="E6" s="884"/>
      <c r="F6" s="884"/>
      <c r="G6" s="262" t="str">
        <f>IFERROR(IF(J41&lt;0,"No ▲","Yes ✓"),"")</f>
        <v>Yes ✓</v>
      </c>
      <c r="H6" s="40"/>
      <c r="I6" s="40"/>
      <c r="J6" s="40"/>
      <c r="K6" s="40"/>
      <c r="L6" s="40"/>
      <c r="M6" s="40"/>
      <c r="N6" s="40"/>
      <c r="O6" s="40"/>
      <c r="P6" s="40"/>
      <c r="Q6" s="40"/>
    </row>
    <row r="7" spans="1:17" ht="19.5" customHeight="1">
      <c r="A7" s="40"/>
      <c r="B7" s="129" t="s">
        <v>25</v>
      </c>
      <c r="C7" s="885" t="s">
        <v>157</v>
      </c>
      <c r="D7" s="885"/>
      <c r="E7" s="885"/>
      <c r="F7" s="885"/>
      <c r="G7" s="148" t="str">
        <f ca="1">IF(J40+J12+J89&lt;0,"No ▲","Yes ✓")</f>
        <v>Yes ✓</v>
      </c>
      <c r="H7" s="40"/>
      <c r="I7" s="40"/>
      <c r="J7" s="40"/>
      <c r="K7" s="40"/>
      <c r="L7" s="40"/>
      <c r="M7" s="40"/>
      <c r="N7" s="40"/>
      <c r="O7" s="40"/>
      <c r="P7" s="40"/>
      <c r="Q7" s="40"/>
    </row>
    <row r="8" spans="1:17" ht="18.75" customHeight="1" thickBot="1">
      <c r="A8" s="40"/>
      <c r="B8" s="97" t="s">
        <v>158</v>
      </c>
      <c r="C8" s="886" t="s">
        <v>159</v>
      </c>
      <c r="D8" s="886"/>
      <c r="E8" s="886"/>
      <c r="F8" s="886"/>
      <c r="G8" s="162" t="str">
        <f ca="1">IF(J124&lt;0,"No ▲","Yes ✓")</f>
        <v>Yes ✓</v>
      </c>
      <c r="H8" s="40"/>
      <c r="I8" s="40"/>
      <c r="J8" s="40"/>
      <c r="K8" s="40"/>
      <c r="L8" s="40"/>
      <c r="M8" s="40"/>
      <c r="N8" s="40"/>
      <c r="O8" s="40"/>
      <c r="P8" s="40"/>
      <c r="Q8" s="40"/>
    </row>
    <row r="9" spans="1:17" ht="14.25" customHeight="1">
      <c r="A9" s="40"/>
      <c r="B9" s="40"/>
      <c r="C9" s="40"/>
      <c r="D9" s="40"/>
      <c r="E9" s="40"/>
      <c r="F9" s="40"/>
      <c r="G9" s="40"/>
      <c r="H9" s="40"/>
      <c r="I9" s="40"/>
      <c r="J9" s="40"/>
      <c r="K9" s="40"/>
      <c r="L9" s="40"/>
      <c r="M9" s="40"/>
      <c r="N9" s="40"/>
      <c r="O9" s="40"/>
      <c r="P9" s="40"/>
      <c r="Q9" s="40"/>
    </row>
    <row r="10" spans="1:17" ht="14.45" thickBot="1">
      <c r="A10" s="40"/>
      <c r="B10" s="40"/>
      <c r="C10" s="40"/>
      <c r="D10" s="40"/>
      <c r="E10" s="40"/>
      <c r="F10" s="40"/>
      <c r="G10" s="40"/>
      <c r="H10" s="40"/>
      <c r="I10" s="40"/>
      <c r="J10" s="40"/>
      <c r="K10" s="40"/>
      <c r="L10" s="40"/>
      <c r="M10" s="40"/>
      <c r="N10" s="40"/>
      <c r="O10" s="40"/>
      <c r="P10" s="40"/>
      <c r="Q10" s="40"/>
    </row>
    <row r="11" spans="1:17" ht="25.9" thickBot="1">
      <c r="A11" s="40"/>
      <c r="B11" s="863" t="s">
        <v>160</v>
      </c>
      <c r="C11" s="864"/>
      <c r="D11" s="864"/>
      <c r="E11" s="864"/>
      <c r="F11" s="864"/>
      <c r="G11" s="876"/>
      <c r="H11" s="40"/>
      <c r="I11" s="867" t="s">
        <v>161</v>
      </c>
      <c r="J11" s="868"/>
      <c r="K11" s="40"/>
      <c r="L11" s="40"/>
      <c r="M11" s="40"/>
      <c r="N11" s="40"/>
      <c r="O11" s="40"/>
      <c r="P11" s="40"/>
      <c r="Q11" s="40"/>
    </row>
    <row r="12" spans="1:17" s="42" customFormat="1" ht="47.45" thickBot="1">
      <c r="A12" s="40"/>
      <c r="B12" s="93" t="s">
        <v>61</v>
      </c>
      <c r="C12" s="94" t="s">
        <v>162</v>
      </c>
      <c r="D12" s="94" t="s">
        <v>163</v>
      </c>
      <c r="E12" s="94" t="s">
        <v>164</v>
      </c>
      <c r="F12" s="94" t="s">
        <v>165</v>
      </c>
      <c r="G12" s="95" t="s">
        <v>166</v>
      </c>
      <c r="H12" s="40"/>
      <c r="I12" s="357" t="s">
        <v>167</v>
      </c>
      <c r="J12" s="482">
        <f>SUMIF($F$13:$F$32,"&gt;0")</f>
        <v>22.310504167191507</v>
      </c>
      <c r="K12" s="40"/>
      <c r="L12" s="40"/>
      <c r="M12" s="40"/>
      <c r="N12" s="40"/>
      <c r="O12" s="40"/>
      <c r="P12" s="40"/>
      <c r="Q12" s="40"/>
    </row>
    <row r="13" spans="1:17" ht="15.75" customHeight="1">
      <c r="A13" s="40"/>
      <c r="B13" s="346" t="str">
        <f>'G-2 Habitat groups'!AU5</f>
        <v>Grassland - Lowland dry acid grassland</v>
      </c>
      <c r="C13" s="347" t="str">
        <f>'G-2 Habitat groups'!AV5</f>
        <v>Grassland</v>
      </c>
      <c r="D13" s="480">
        <f>'G-2 Habitat groups'!BB5</f>
        <v>20.811936661826905</v>
      </c>
      <c r="E13" s="480">
        <f>'G-2 Habitat groups'!BD5</f>
        <v>0</v>
      </c>
      <c r="F13" s="480">
        <f>'G-2 Habitat groups'!BE5</f>
        <v>20.811936661826905</v>
      </c>
      <c r="G13" s="481" t="str">
        <f>'G-2 Habitat groups'!BF5</f>
        <v/>
      </c>
      <c r="H13" s="40"/>
      <c r="I13" s="875" t="str">
        <f>IF($G$33&lt;0,"Very high distinctiveness unit defecit - CHECK DATA","")</f>
        <v/>
      </c>
      <c r="J13" s="875"/>
      <c r="K13" s="40"/>
      <c r="L13" s="40"/>
      <c r="M13" s="40"/>
      <c r="N13" s="40"/>
      <c r="O13" s="40"/>
      <c r="P13" s="40"/>
      <c r="Q13" s="40"/>
    </row>
    <row r="14" spans="1:17">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c r="A27" s="40"/>
      <c r="B27" s="346" t="str">
        <f>'G-2 Habitat groups'!AU19</f>
        <v>Woodland and forest - Wood-pasture and parkland</v>
      </c>
      <c r="C27" s="347" t="str">
        <f>'G-2 Habitat groups'!AV19</f>
        <v>Woodland and forest</v>
      </c>
      <c r="D27" s="480">
        <f>'G-2 Habitat groups'!BB19</f>
        <v>1.4985675053645999</v>
      </c>
      <c r="E27" s="480">
        <f>'G-2 Habitat groups'!BD19</f>
        <v>0</v>
      </c>
      <c r="F27" s="480">
        <f>'G-2 Habitat groups'!BE19</f>
        <v>1.4985675053645999</v>
      </c>
      <c r="G27" s="481" t="str">
        <f>'G-2 Habitat groups'!BF19</f>
        <v/>
      </c>
      <c r="H27" s="40"/>
      <c r="I27" s="40"/>
      <c r="J27" s="40"/>
      <c r="K27" s="40"/>
      <c r="L27" s="40"/>
      <c r="M27" s="40"/>
      <c r="N27" s="40"/>
      <c r="O27" s="40"/>
      <c r="P27" s="40"/>
      <c r="Q27" s="40"/>
    </row>
    <row r="28" spans="1:17">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45" thickBot="1">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45" thickBot="1">
      <c r="A33" s="40"/>
      <c r="B33" s="40"/>
      <c r="C33" s="40"/>
      <c r="D33" s="472">
        <f>SUM(D13:D32)</f>
        <v>22.310504167191507</v>
      </c>
      <c r="E33" s="473">
        <f>SUM(E13:E32)</f>
        <v>0</v>
      </c>
      <c r="F33" s="474">
        <f>SUM(F13:F32)</f>
        <v>22.310504167191507</v>
      </c>
      <c r="G33" s="475">
        <f>SUM(G13:G32)</f>
        <v>0</v>
      </c>
      <c r="H33" s="40"/>
      <c r="I33" s="40"/>
      <c r="J33" s="40"/>
      <c r="K33" s="40"/>
      <c r="L33" s="40"/>
      <c r="M33" s="40"/>
      <c r="N33" s="40"/>
      <c r="O33" s="40"/>
      <c r="P33" s="40"/>
      <c r="Q33" s="40"/>
    </row>
    <row r="34" spans="1:17">
      <c r="A34" s="40"/>
      <c r="B34" s="40"/>
      <c r="C34" s="40"/>
      <c r="D34" s="40"/>
      <c r="E34" s="40"/>
      <c r="F34" s="40"/>
      <c r="G34" s="40"/>
      <c r="H34" s="40"/>
      <c r="I34" s="40"/>
      <c r="J34" s="40"/>
      <c r="K34" s="40"/>
      <c r="L34" s="40"/>
      <c r="M34" s="40"/>
      <c r="N34" s="40"/>
      <c r="O34" s="40"/>
      <c r="P34" s="40"/>
      <c r="Q34" s="40"/>
    </row>
    <row r="35" spans="1:17">
      <c r="A35" s="40"/>
      <c r="B35" s="40"/>
      <c r="C35" s="40"/>
      <c r="D35" s="40"/>
      <c r="E35" s="40"/>
      <c r="F35" s="40"/>
      <c r="G35" s="40"/>
      <c r="H35" s="40"/>
      <c r="I35" s="40"/>
      <c r="J35" s="40"/>
      <c r="K35" s="40"/>
      <c r="L35" s="40"/>
      <c r="M35" s="40"/>
      <c r="N35" s="40"/>
      <c r="O35" s="40"/>
      <c r="P35" s="40"/>
      <c r="Q35" s="40"/>
    </row>
    <row r="36" spans="1:17">
      <c r="A36" s="40"/>
      <c r="B36" s="40"/>
      <c r="C36" s="40"/>
      <c r="D36" s="40"/>
      <c r="E36" s="40"/>
      <c r="F36" s="40"/>
      <c r="G36" s="40"/>
      <c r="H36" s="40"/>
      <c r="I36" s="40"/>
      <c r="J36" s="40"/>
      <c r="K36" s="40"/>
      <c r="L36" s="40"/>
      <c r="M36" s="40"/>
      <c r="N36" s="40"/>
      <c r="O36" s="40"/>
      <c r="P36" s="40"/>
      <c r="Q36" s="40"/>
    </row>
    <row r="37" spans="1:17">
      <c r="A37" s="40"/>
      <c r="B37" s="40"/>
      <c r="C37" s="40"/>
      <c r="D37" s="40"/>
      <c r="E37" s="40"/>
      <c r="F37" s="40"/>
      <c r="G37" s="40"/>
      <c r="H37" s="40"/>
      <c r="I37" s="40"/>
      <c r="J37" s="40"/>
      <c r="K37" s="40"/>
      <c r="L37" s="40"/>
      <c r="M37" s="40"/>
      <c r="N37" s="40"/>
      <c r="O37" s="40"/>
      <c r="P37" s="40"/>
      <c r="Q37" s="40"/>
    </row>
    <row r="38" spans="1:17" ht="14.45" thickBot="1">
      <c r="A38" s="40"/>
      <c r="B38" s="40"/>
      <c r="C38" s="40"/>
      <c r="D38" s="40"/>
      <c r="E38" s="40"/>
      <c r="F38" s="40"/>
      <c r="G38" s="40"/>
      <c r="H38" s="40"/>
      <c r="I38" s="40"/>
      <c r="J38" s="40"/>
      <c r="K38" s="40"/>
      <c r="L38" s="40"/>
      <c r="M38" s="40"/>
      <c r="N38" s="40"/>
      <c r="O38" s="40"/>
      <c r="P38" s="40"/>
      <c r="Q38" s="40"/>
    </row>
    <row r="39" spans="1:17" ht="25.9" thickBot="1">
      <c r="A39" s="40"/>
      <c r="B39" s="863" t="s">
        <v>168</v>
      </c>
      <c r="C39" s="864"/>
      <c r="D39" s="864"/>
      <c r="E39" s="864"/>
      <c r="F39" s="864"/>
      <c r="G39" s="876"/>
      <c r="H39" s="40"/>
      <c r="I39" s="867" t="s">
        <v>169</v>
      </c>
      <c r="J39" s="868"/>
      <c r="K39" s="40"/>
      <c r="L39" s="40"/>
      <c r="M39" s="40"/>
    </row>
    <row r="40" spans="1:17" ht="46.9">
      <c r="A40" s="40"/>
      <c r="B40" s="93" t="s">
        <v>61</v>
      </c>
      <c r="C40" s="94" t="s">
        <v>162</v>
      </c>
      <c r="D40" s="94" t="s">
        <v>163</v>
      </c>
      <c r="E40" s="94" t="s">
        <v>164</v>
      </c>
      <c r="F40" s="94" t="s">
        <v>165</v>
      </c>
      <c r="G40" s="95" t="s">
        <v>170</v>
      </c>
      <c r="H40" s="40"/>
      <c r="I40" s="96" t="s">
        <v>171</v>
      </c>
      <c r="J40" s="485">
        <f>SUMIF($F$41:$F$81,"&gt;0")</f>
        <v>3.5619476891623023</v>
      </c>
      <c r="K40" s="40"/>
      <c r="L40" s="40"/>
      <c r="M40" s="40"/>
      <c r="N40" s="40"/>
      <c r="O40" s="40"/>
    </row>
    <row r="41" spans="1:17" ht="14.45" thickBot="1">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172</v>
      </c>
      <c r="J41" s="486">
        <f>G82</f>
        <v>0</v>
      </c>
      <c r="K41" s="40"/>
      <c r="L41" s="40"/>
      <c r="M41" s="40"/>
      <c r="N41" s="40"/>
      <c r="O41" s="40"/>
    </row>
    <row r="42" spans="1:17">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c r="A54" s="40"/>
      <c r="B54" s="344" t="str">
        <f>'G-2 Habitat groups'!AU43</f>
        <v>Lakes - Ponds (Priority Habitat)</v>
      </c>
      <c r="C54" s="345" t="str">
        <f>'G-2 Habitat groups'!AV43</f>
        <v>Lakes</v>
      </c>
      <c r="D54" s="483">
        <f>'G-2 Habitat groups'!BB43</f>
        <v>3.5619476891623023</v>
      </c>
      <c r="E54" s="483">
        <f>'G-2 Habitat groups'!BD43</f>
        <v>0</v>
      </c>
      <c r="F54" s="483">
        <f>'G-2 Habitat groups'!BE43</f>
        <v>3.5619476891623023</v>
      </c>
      <c r="G54" s="484" t="str">
        <f>'G-2 Habitat groups'!BF43</f>
        <v/>
      </c>
      <c r="H54" s="40"/>
      <c r="I54" s="40"/>
      <c r="J54" s="40"/>
      <c r="K54" s="40"/>
      <c r="L54" s="40"/>
      <c r="M54" s="40"/>
    </row>
    <row r="55" spans="1:15" ht="15" customHeight="1">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45" thickBot="1">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45" thickBot="1">
      <c r="A82" s="40"/>
      <c r="B82" s="46"/>
      <c r="C82" s="46"/>
      <c r="D82" s="472">
        <f>SUM(D41:D81)</f>
        <v>3.5619476891623023</v>
      </c>
      <c r="E82" s="473">
        <f>SUM(E41:E81)</f>
        <v>0</v>
      </c>
      <c r="F82" s="474">
        <f>SUM(F41:F81)</f>
        <v>3.5619476891623023</v>
      </c>
      <c r="G82" s="475">
        <f>SUM(G41:G81)</f>
        <v>0</v>
      </c>
      <c r="H82" s="40"/>
      <c r="I82" s="40"/>
      <c r="J82" s="40"/>
      <c r="K82" s="40"/>
      <c r="L82" s="40"/>
      <c r="M82" s="40"/>
      <c r="N82" s="40"/>
      <c r="O82" s="40"/>
      <c r="P82" s="40"/>
      <c r="Q82" s="40"/>
    </row>
    <row r="83" spans="1:17">
      <c r="A83" s="40"/>
      <c r="B83" s="40"/>
      <c r="C83" s="40"/>
      <c r="D83" s="40"/>
      <c r="E83" s="40"/>
      <c r="F83" s="40"/>
      <c r="G83" s="40"/>
      <c r="H83" s="40"/>
      <c r="I83" s="40"/>
      <c r="J83" s="40"/>
      <c r="K83" s="40"/>
      <c r="L83" s="40"/>
      <c r="M83" s="40"/>
      <c r="N83" s="40"/>
      <c r="O83" s="40"/>
      <c r="P83" s="40"/>
      <c r="Q83" s="40"/>
    </row>
    <row r="84" spans="1:17">
      <c r="A84" s="40"/>
      <c r="B84" s="40"/>
      <c r="C84" s="40"/>
      <c r="D84" s="40"/>
      <c r="E84" s="40"/>
      <c r="F84" s="40"/>
      <c r="G84" s="40"/>
      <c r="H84" s="40"/>
      <c r="I84" s="40"/>
      <c r="J84" s="40"/>
      <c r="K84" s="40"/>
      <c r="L84" s="40"/>
      <c r="M84" s="40"/>
      <c r="N84" s="40"/>
      <c r="O84" s="40"/>
      <c r="P84" s="40"/>
      <c r="Q84" s="40"/>
    </row>
    <row r="85" spans="1:17">
      <c r="A85" s="40"/>
      <c r="B85" s="40"/>
      <c r="C85" s="40"/>
      <c r="D85" s="40"/>
      <c r="E85" s="40"/>
      <c r="F85" s="40"/>
      <c r="G85" s="40"/>
      <c r="H85" s="40"/>
      <c r="I85" s="40"/>
      <c r="J85" s="40"/>
      <c r="K85" s="40"/>
      <c r="L85" s="40"/>
      <c r="M85" s="40"/>
      <c r="N85" s="40"/>
      <c r="O85" s="40"/>
      <c r="P85" s="40"/>
      <c r="Q85" s="40"/>
    </row>
    <row r="86" spans="1:17" ht="14.45" thickBot="1">
      <c r="A86" s="40"/>
      <c r="B86" s="40"/>
      <c r="C86" s="40"/>
      <c r="D86" s="40"/>
      <c r="E86" s="40"/>
      <c r="F86" s="40"/>
      <c r="G86" s="40"/>
      <c r="H86" s="40"/>
      <c r="I86" s="40"/>
      <c r="J86" s="40"/>
      <c r="K86" s="40"/>
      <c r="L86" s="40"/>
      <c r="M86" s="40"/>
      <c r="N86" s="40"/>
      <c r="O86" s="40"/>
      <c r="P86" s="40"/>
      <c r="Q86" s="40"/>
    </row>
    <row r="87" spans="1:17" ht="28.15" thickBot="1">
      <c r="A87" s="40"/>
      <c r="B87" s="872" t="s">
        <v>173</v>
      </c>
      <c r="C87" s="873"/>
      <c r="D87" s="873"/>
      <c r="E87" s="873"/>
      <c r="F87" s="873"/>
      <c r="G87" s="874"/>
      <c r="H87" s="40"/>
      <c r="I87" s="865" t="s">
        <v>174</v>
      </c>
      <c r="J87" s="866"/>
      <c r="K87" s="40"/>
      <c r="L87" s="40"/>
      <c r="M87" s="40"/>
      <c r="N87" s="40"/>
      <c r="O87" s="40"/>
    </row>
    <row r="88" spans="1:17" ht="47.45" thickBot="1">
      <c r="A88" s="40"/>
      <c r="B88" s="350" t="s">
        <v>175</v>
      </c>
      <c r="C88" s="351" t="s">
        <v>162</v>
      </c>
      <c r="D88" s="351" t="s">
        <v>176</v>
      </c>
      <c r="E88" s="351" t="s">
        <v>177</v>
      </c>
      <c r="F88" s="351" t="s">
        <v>178</v>
      </c>
      <c r="G88" s="352" t="s">
        <v>179</v>
      </c>
      <c r="H88" s="40"/>
      <c r="I88" s="96" t="s">
        <v>180</v>
      </c>
      <c r="J88" s="487">
        <f ca="1">SUMIF(G89:G113,"&gt;0")</f>
        <v>16.69048229096127</v>
      </c>
      <c r="K88" s="40"/>
      <c r="L88" s="40"/>
    </row>
    <row r="89" spans="1:17" ht="27.6">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-10.137600000000003</v>
      </c>
      <c r="H89" s="40"/>
      <c r="I89" s="129" t="s">
        <v>181</v>
      </c>
      <c r="J89" s="488">
        <f ca="1">SUMIF(G89:G113,"&lt;0")</f>
        <v>-10.937600000000003</v>
      </c>
      <c r="K89" s="40"/>
      <c r="L89" s="40"/>
    </row>
    <row r="90" spans="1:17" ht="27.6">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182</v>
      </c>
      <c r="J90" s="488">
        <f ca="1">IF(J40+J12+J89&gt;0,J40+J12+J89,0)</f>
        <v>14.934851856353806</v>
      </c>
    </row>
    <row r="91" spans="1:17" ht="14.45" thickBot="1">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183</v>
      </c>
      <c r="J91" s="486">
        <f ca="1">J90+J88</f>
        <v>31.625334147315076</v>
      </c>
      <c r="K91" s="40"/>
      <c r="L91" s="40"/>
    </row>
    <row r="92" spans="1:17" ht="14.45" thickBot="1">
      <c r="A92" s="40"/>
      <c r="B92" s="346" t="str">
        <f>'G-2 Habitat groups'!AU80</f>
        <v>Cropland - Arable field margins tussocky</v>
      </c>
      <c r="C92" s="347" t="str">
        <f>'G-2 Habitat groups'!AV80</f>
        <v>Cropland</v>
      </c>
      <c r="D92" s="480">
        <f>'G-2 Habitat groups'!BB80</f>
        <v>-10.137600000000003</v>
      </c>
      <c r="E92" s="480">
        <f>'G-2 Habitat groups'!BD80</f>
        <v>0</v>
      </c>
      <c r="F92" s="480">
        <f>'G-2 Habitat groups'!BE80</f>
        <v>-10.137600000000003</v>
      </c>
      <c r="G92" s="870"/>
      <c r="H92" s="40"/>
      <c r="I92" s="40"/>
      <c r="J92" s="40"/>
      <c r="K92" s="40"/>
      <c r="L92" s="40"/>
    </row>
    <row r="93" spans="1:17">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SUM(F93:F95)</f>
        <v>0</v>
      </c>
      <c r="H93" s="40"/>
      <c r="I93" s="40"/>
      <c r="J93" s="40"/>
      <c r="K93" s="40"/>
      <c r="L93" s="40"/>
    </row>
    <row r="94" spans="1:17">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70"/>
      <c r="H94" s="40"/>
      <c r="I94" s="40"/>
      <c r="J94" s="40"/>
      <c r="K94" s="40"/>
      <c r="L94" s="40"/>
    </row>
    <row r="95" spans="1:17" ht="14.45" thickBot="1">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-0.8</v>
      </c>
      <c r="H96" s="40"/>
      <c r="I96" s="40"/>
      <c r="J96" s="40"/>
      <c r="K96" s="40"/>
      <c r="L96" s="40"/>
      <c r="M96" s="40"/>
    </row>
    <row r="97" spans="1:15">
      <c r="A97" s="40"/>
      <c r="B97" s="346" t="str">
        <f>'G-2 Habitat groups'!AU85</f>
        <v>Heathland and shrub - Bramble scrub</v>
      </c>
      <c r="C97" s="347" t="str">
        <f>'G-2 Habitat groups'!AV85</f>
        <v>Heathland and shrub</v>
      </c>
      <c r="D97" s="480">
        <f>'G-2 Habitat groups'!BB85</f>
        <v>-0.8</v>
      </c>
      <c r="E97" s="480">
        <f>'G-2 Habitat groups'!BD85</f>
        <v>0</v>
      </c>
      <c r="F97" s="480">
        <f>'G-2 Habitat groups'!BE85</f>
        <v>-0.8</v>
      </c>
      <c r="G97" s="870"/>
      <c r="H97" s="40"/>
      <c r="I97" s="40"/>
      <c r="J97" s="40"/>
      <c r="K97" s="40"/>
      <c r="L97" s="40"/>
      <c r="M97" s="40"/>
    </row>
    <row r="98" spans="1:1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4.45" thickBot="1">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1"/>
      <c r="H101" s="40"/>
      <c r="I101" s="40"/>
      <c r="J101" s="40"/>
      <c r="K101" s="40"/>
      <c r="L101" s="40"/>
      <c r="M101" s="40"/>
      <c r="N101" s="40"/>
      <c r="O101" s="40"/>
    </row>
    <row r="102" spans="1:1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69">
        <f>SUM(F102:F103)</f>
        <v>0</v>
      </c>
      <c r="H102" s="40"/>
      <c r="K102" s="40"/>
      <c r="L102" s="40"/>
      <c r="M102" s="40"/>
      <c r="N102" s="40"/>
      <c r="O102" s="40"/>
    </row>
    <row r="103" spans="1:15" ht="14.45" thickBot="1">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4.45" thickBot="1">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4.9832518157352705</v>
      </c>
      <c r="H105" s="40"/>
      <c r="I105" s="40"/>
      <c r="J105" s="40"/>
      <c r="K105" s="40"/>
      <c r="L105" s="40"/>
      <c r="M105" s="40"/>
      <c r="N105" s="40"/>
      <c r="O105" s="40"/>
    </row>
    <row r="106" spans="1:15" ht="15" customHeight="1">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c r="A107" s="40"/>
      <c r="B107" s="662" t="str">
        <f>'G-2 Habitat groups'!AU130</f>
        <v>Urban - Urban Tree</v>
      </c>
      <c r="C107" s="124" t="str">
        <f>'G-2 Habitat groups'!AV130</f>
        <v>Urban</v>
      </c>
      <c r="D107" s="663">
        <f>'G-2 Habitat groups'!BB130</f>
        <v>4.9832518157352705</v>
      </c>
      <c r="E107" s="663">
        <f>'G-2 Habitat groups'!BD130</f>
        <v>0</v>
      </c>
      <c r="F107" s="480">
        <f>'G-2 Habitat groups'!BE130</f>
        <v>4.9832518157352705</v>
      </c>
      <c r="G107" s="871"/>
      <c r="H107" s="40"/>
      <c r="I107" s="40"/>
      <c r="J107" s="40"/>
      <c r="K107" s="40"/>
      <c r="L107" s="40"/>
      <c r="M107" s="40"/>
      <c r="N107" s="40"/>
      <c r="O107" s="40"/>
    </row>
    <row r="108" spans="1:1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 ca="1">SUM(F108:F110)</f>
        <v>11.707230475226002</v>
      </c>
      <c r="H108" s="40"/>
      <c r="I108" s="40"/>
      <c r="J108" s="40"/>
      <c r="K108" s="40"/>
      <c r="L108" s="40"/>
      <c r="M108" s="40"/>
      <c r="N108" s="40"/>
      <c r="O108" s="40"/>
    </row>
    <row r="109" spans="1:15">
      <c r="A109" s="40"/>
      <c r="B109" s="346" t="str">
        <f>'G-2 Habitat groups'!AU96</f>
        <v>Woodland and forest - Other woodland; broadleaved</v>
      </c>
      <c r="C109" s="347" t="str">
        <f>'G-2 Habitat groups'!AV96</f>
        <v>Woodland and forest</v>
      </c>
      <c r="D109" s="480">
        <f ca="1">'G-2 Habitat groups'!BB96</f>
        <v>-0.53044879144839996</v>
      </c>
      <c r="E109" s="480">
        <f>'G-2 Habitat groups'!BD96</f>
        <v>0</v>
      </c>
      <c r="F109" s="480">
        <f ca="1">'G-2 Habitat groups'!BE96</f>
        <v>-0.53044879144839996</v>
      </c>
      <c r="G109" s="870"/>
      <c r="H109" s="40"/>
      <c r="I109" s="40"/>
      <c r="J109" s="40"/>
      <c r="K109" s="40"/>
      <c r="L109" s="40"/>
      <c r="M109" s="40"/>
      <c r="N109" s="40"/>
      <c r="O109" s="40"/>
    </row>
    <row r="110" spans="1:15" ht="14.45" thickBot="1">
      <c r="A110" s="40"/>
      <c r="B110" s="348" t="str">
        <f>'G-2 Habitat groups'!AU97</f>
        <v>Woodland and forest - Other woodland; mixed</v>
      </c>
      <c r="C110" s="349" t="str">
        <f>'G-2 Habitat groups'!AV97</f>
        <v>Woodland and forest</v>
      </c>
      <c r="D110" s="490">
        <f ca="1">'G-2 Habitat groups'!BB97</f>
        <v>12.237679266674402</v>
      </c>
      <c r="E110" s="490">
        <f>'G-2 Habitat groups'!BD97</f>
        <v>0</v>
      </c>
      <c r="F110" s="490">
        <f ca="1">'G-2 Habitat groups'!BE97</f>
        <v>12.237679266674402</v>
      </c>
      <c r="G110" s="871"/>
      <c r="H110" s="40"/>
      <c r="I110" s="40"/>
      <c r="J110" s="40"/>
      <c r="K110" s="40"/>
      <c r="L110" s="40"/>
      <c r="M110" s="40"/>
      <c r="N110" s="40"/>
      <c r="O110" s="40"/>
    </row>
    <row r="111" spans="1:1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45" customHeight="1" thickBot="1">
      <c r="A114" s="40"/>
      <c r="B114" s="40"/>
      <c r="C114" s="40"/>
      <c r="D114" s="476">
        <f ca="1">SUM(D89:D113)</f>
        <v>5.7528822909612689</v>
      </c>
      <c r="E114" s="477">
        <f>SUM(E89:E113)</f>
        <v>0</v>
      </c>
      <c r="F114" s="478">
        <f ca="1">SUM(F89:F113)</f>
        <v>5.7528822909612689</v>
      </c>
      <c r="H114" s="40"/>
      <c r="I114" s="40"/>
      <c r="J114" s="40"/>
      <c r="K114" s="40"/>
      <c r="L114" s="40"/>
      <c r="M114" s="40"/>
      <c r="N114" s="40"/>
      <c r="O114" s="40"/>
    </row>
    <row r="115" spans="1:17">
      <c r="A115" s="40"/>
      <c r="B115" s="40"/>
      <c r="C115" s="40"/>
      <c r="D115" s="40"/>
      <c r="E115" s="40"/>
      <c r="F115" s="40"/>
      <c r="G115" s="40"/>
      <c r="H115" s="40"/>
      <c r="I115" s="40"/>
      <c r="J115" s="40"/>
      <c r="K115" s="40"/>
      <c r="L115" s="40"/>
      <c r="M115" s="40"/>
      <c r="N115" s="40"/>
      <c r="O115" s="40"/>
      <c r="P115" s="40"/>
      <c r="Q115" s="40"/>
    </row>
    <row r="116" spans="1:17">
      <c r="A116" s="40"/>
      <c r="B116" s="40"/>
      <c r="C116" s="40"/>
      <c r="D116" s="40"/>
      <c r="E116" s="40"/>
      <c r="F116" s="40"/>
      <c r="G116" s="40"/>
      <c r="H116" s="40"/>
      <c r="I116" s="40"/>
      <c r="J116" s="40"/>
      <c r="K116" s="40"/>
      <c r="L116" s="40"/>
      <c r="M116" s="40"/>
      <c r="N116" s="40"/>
      <c r="O116" s="40"/>
      <c r="P116" s="40"/>
      <c r="Q116" s="40"/>
    </row>
    <row r="117" spans="1:17">
      <c r="A117" s="40"/>
      <c r="B117" s="40"/>
      <c r="C117" s="40"/>
      <c r="D117" s="40"/>
      <c r="E117" s="40"/>
      <c r="F117" s="40"/>
      <c r="G117" s="40"/>
      <c r="H117" s="40"/>
      <c r="I117" s="40"/>
      <c r="J117" s="40"/>
      <c r="K117" s="40"/>
      <c r="L117" s="40"/>
      <c r="M117" s="40"/>
      <c r="N117" s="40"/>
      <c r="O117" s="40"/>
      <c r="P117" s="40"/>
      <c r="Q117" s="40"/>
    </row>
    <row r="118" spans="1:17">
      <c r="A118" s="40"/>
      <c r="B118" s="40"/>
      <c r="C118" s="40"/>
      <c r="D118" s="40"/>
      <c r="E118" s="40"/>
      <c r="F118" s="40"/>
      <c r="G118" s="40"/>
      <c r="H118" s="40"/>
      <c r="I118" s="40"/>
      <c r="J118" s="40"/>
      <c r="K118" s="40"/>
      <c r="L118" s="40"/>
      <c r="M118" s="40"/>
      <c r="N118" s="40"/>
      <c r="O118" s="40"/>
      <c r="P118" s="40"/>
      <c r="Q118" s="40"/>
    </row>
    <row r="119" spans="1:17">
      <c r="A119" s="40"/>
      <c r="B119" s="40"/>
      <c r="C119" s="40"/>
      <c r="D119" s="40"/>
      <c r="E119" s="40"/>
      <c r="F119" s="40"/>
      <c r="G119" s="40"/>
      <c r="H119" s="40"/>
      <c r="I119" s="40"/>
      <c r="J119" s="40"/>
      <c r="K119" s="40"/>
      <c r="L119" s="40"/>
      <c r="M119" s="40"/>
      <c r="N119" s="40"/>
      <c r="O119" s="40"/>
      <c r="P119" s="40"/>
      <c r="Q119" s="40"/>
    </row>
    <row r="120" spans="1:17" ht="14.45" thickBot="1">
      <c r="A120" s="40"/>
      <c r="B120" s="40"/>
      <c r="C120" s="40"/>
      <c r="D120" s="40"/>
      <c r="E120" s="40"/>
      <c r="F120" s="40"/>
      <c r="G120" s="40"/>
      <c r="H120" s="40"/>
      <c r="I120" s="40"/>
      <c r="J120" s="40"/>
      <c r="K120" s="40"/>
      <c r="L120" s="40"/>
      <c r="M120" s="40"/>
      <c r="N120" s="40"/>
      <c r="O120" s="40"/>
      <c r="P120" s="40"/>
      <c r="Q120" s="40"/>
    </row>
    <row r="121" spans="1:17" ht="25.9" thickBot="1">
      <c r="A121" s="40"/>
      <c r="B121" s="863" t="s">
        <v>184</v>
      </c>
      <c r="C121" s="864"/>
      <c r="D121" s="864"/>
      <c r="E121" s="864"/>
      <c r="F121" s="864"/>
      <c r="G121" s="40"/>
      <c r="H121" s="40"/>
      <c r="I121" s="40"/>
      <c r="J121" s="40"/>
      <c r="K121" s="40"/>
      <c r="L121" s="40"/>
      <c r="M121" s="40"/>
      <c r="N121" s="40"/>
      <c r="O121" s="40"/>
    </row>
    <row r="122" spans="1:17" ht="47.45" thickBot="1">
      <c r="A122" s="40"/>
      <c r="B122" s="93" t="s">
        <v>61</v>
      </c>
      <c r="C122" s="94" t="s">
        <v>162</v>
      </c>
      <c r="D122" s="94" t="s">
        <v>185</v>
      </c>
      <c r="E122" s="94" t="s">
        <v>164</v>
      </c>
      <c r="F122" s="94" t="s">
        <v>178</v>
      </c>
      <c r="G122" s="40"/>
      <c r="H122" s="40"/>
      <c r="I122" s="865" t="s">
        <v>186</v>
      </c>
      <c r="J122" s="866"/>
      <c r="K122" s="40"/>
      <c r="L122" s="40"/>
      <c r="M122" s="40"/>
      <c r="N122" s="40"/>
    </row>
    <row r="123" spans="1:17">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187</v>
      </c>
      <c r="J123" s="487">
        <f>F159</f>
        <v>13.953453920674017</v>
      </c>
      <c r="K123" s="40"/>
      <c r="L123" s="40"/>
      <c r="M123" s="40"/>
      <c r="N123" s="40"/>
    </row>
    <row r="124" spans="1:17" ht="14.45" thickBot="1">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183</v>
      </c>
      <c r="J124" s="486">
        <f ca="1">J123+J91</f>
        <v>45.578788067989095</v>
      </c>
      <c r="K124" s="40"/>
      <c r="L124" s="40"/>
      <c r="M124" s="40"/>
      <c r="N124" s="40"/>
    </row>
    <row r="125" spans="1:17">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c r="A128" s="40"/>
      <c r="B128" s="87" t="str">
        <f>'G-2 Habitat groups'!AU115</f>
        <v>Cropland - Cereal crops winter stubble</v>
      </c>
      <c r="C128" s="88" t="str">
        <f>'G-2 Habitat groups'!AV115</f>
        <v>Cropland</v>
      </c>
      <c r="D128" s="493">
        <f>'G-2 Habitat groups'!BB115</f>
        <v>-60.86</v>
      </c>
      <c r="E128" s="493">
        <f>'G-2 Habitat groups'!BD115</f>
        <v>0</v>
      </c>
      <c r="F128" s="480">
        <f>'G-2 Habitat groups'!BE115</f>
        <v>-60.86</v>
      </c>
      <c r="G128" s="40"/>
      <c r="H128" s="40"/>
      <c r="I128" s="40"/>
      <c r="J128" s="40"/>
      <c r="K128" s="40"/>
      <c r="L128" s="40"/>
      <c r="M128" s="40"/>
      <c r="N128" s="40"/>
    </row>
    <row r="129" spans="1:15">
      <c r="A129" s="40"/>
      <c r="B129" s="87" t="str">
        <f>'G-2 Habitat groups'!AU116</f>
        <v>Grassland - Modified grassland</v>
      </c>
      <c r="C129" s="88" t="str">
        <f>'G-2 Habitat groups'!AV116</f>
        <v>Grassland</v>
      </c>
      <c r="D129" s="493">
        <f>'G-2 Habitat groups'!BB116</f>
        <v>76.431453920674016</v>
      </c>
      <c r="E129" s="493">
        <f>'G-2 Habitat groups'!BD116</f>
        <v>0</v>
      </c>
      <c r="F129" s="480">
        <f>'G-2 Habitat groups'!BE116</f>
        <v>76.431453920674016</v>
      </c>
      <c r="G129" s="40"/>
      <c r="H129" s="40"/>
      <c r="I129" s="40"/>
      <c r="J129" s="40"/>
      <c r="K129" s="40"/>
      <c r="L129" s="40"/>
      <c r="M129" s="40"/>
      <c r="N129" s="40"/>
    </row>
    <row r="130" spans="1:15">
      <c r="A130" s="40"/>
      <c r="B130" s="87" t="str">
        <f>'G-2 Habitat groups'!AU117</f>
        <v>Grassland - Bracken</v>
      </c>
      <c r="C130" s="88" t="str">
        <f>'G-2 Habitat groups'!AV117</f>
        <v>Grassland</v>
      </c>
      <c r="D130" s="493">
        <f>'G-2 Habitat groups'!BB117</f>
        <v>-5.8000000000000003E-2</v>
      </c>
      <c r="E130" s="493">
        <f>'G-2 Habitat groups'!BD117</f>
        <v>0</v>
      </c>
      <c r="F130" s="480">
        <f>'G-2 Habitat groups'!BE117</f>
        <v>-5.8000000000000003E-2</v>
      </c>
      <c r="G130" s="40"/>
      <c r="H130" s="40"/>
      <c r="I130" s="40"/>
      <c r="J130" s="40"/>
      <c r="K130" s="40"/>
      <c r="L130" s="40"/>
      <c r="M130" s="40"/>
      <c r="N130" s="40"/>
    </row>
    <row r="131" spans="1:1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c r="A133" s="40"/>
      <c r="B133" s="87" t="str">
        <f>'G-2 Habitat groups'!AU120</f>
        <v>Sparsely vegetated land - Ruderal/Ephemeral</v>
      </c>
      <c r="C133" s="88" t="str">
        <f>'G-2 Habitat groups'!AV120</f>
        <v>Sparsely vegetated land</v>
      </c>
      <c r="D133" s="493">
        <f>'G-2 Habitat groups'!BB120</f>
        <v>-0.92</v>
      </c>
      <c r="E133" s="493">
        <f>'G-2 Habitat groups'!BD120</f>
        <v>0</v>
      </c>
      <c r="F133" s="480">
        <f>'G-2 Habitat groups'!BE120</f>
        <v>-0.92</v>
      </c>
      <c r="G133" s="40"/>
      <c r="H133" s="40"/>
      <c r="I133" s="40"/>
      <c r="J133" s="40"/>
      <c r="K133" s="40"/>
      <c r="L133" s="40"/>
      <c r="M133" s="40"/>
      <c r="N133" s="40"/>
    </row>
    <row r="134" spans="1:1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c r="A145" s="40"/>
      <c r="B145" s="87" t="str">
        <f>'G-2 Habitat groups'!AU132</f>
        <v>Urban - Vacant/derelict land/ bareground</v>
      </c>
      <c r="C145" s="88" t="str">
        <f>'G-2 Habitat groups'!AV132</f>
        <v>Urban</v>
      </c>
      <c r="D145" s="493">
        <f>'G-2 Habitat groups'!BB132</f>
        <v>-0.64</v>
      </c>
      <c r="E145" s="493">
        <f>'G-2 Habitat groups'!BD132</f>
        <v>0</v>
      </c>
      <c r="F145" s="480">
        <f>'G-2 Habitat groups'!BE132</f>
        <v>-0.64</v>
      </c>
      <c r="G145" s="40"/>
      <c r="H145" s="40"/>
      <c r="I145" s="40"/>
      <c r="J145" s="40"/>
      <c r="K145" s="40"/>
      <c r="L145" s="40"/>
      <c r="M145" s="40"/>
      <c r="N145" s="40"/>
      <c r="O145" s="40"/>
    </row>
    <row r="146" spans="1:17">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45" thickBot="1">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45" thickBot="1">
      <c r="A159" s="40"/>
      <c r="B159" s="40"/>
      <c r="C159" s="40"/>
      <c r="D159" s="479">
        <f>SUM(D123:D158)</f>
        <v>13.953453920674017</v>
      </c>
      <c r="E159" s="40"/>
      <c r="F159" s="479">
        <f>SUM(F123:F158)</f>
        <v>13.953453920674017</v>
      </c>
      <c r="G159" s="40"/>
      <c r="H159" s="40"/>
      <c r="I159" s="40"/>
      <c r="J159" s="40"/>
      <c r="K159" s="40"/>
      <c r="L159" s="40"/>
      <c r="M159" s="40"/>
      <c r="N159" s="40"/>
      <c r="O159" s="40"/>
      <c r="P159" s="40"/>
      <c r="Q159" s="40"/>
    </row>
    <row r="160" spans="1:17">
      <c r="A160" s="40"/>
      <c r="G160" s="40"/>
      <c r="H160" s="40"/>
      <c r="I160" s="40"/>
      <c r="J160" s="40"/>
      <c r="K160" s="40"/>
      <c r="L160" s="40"/>
      <c r="M160" s="40"/>
      <c r="N160" s="40"/>
      <c r="O160" s="40"/>
      <c r="P160" s="40"/>
      <c r="Q160" s="40"/>
    </row>
    <row r="161" spans="1:17" hidden="1">
      <c r="A161" s="40"/>
      <c r="B161" s="40"/>
      <c r="C161" s="40"/>
      <c r="D161" s="40"/>
      <c r="E161" s="40"/>
      <c r="F161" s="40"/>
      <c r="G161" s="40"/>
      <c r="H161" s="40"/>
      <c r="I161" s="40"/>
      <c r="J161" s="40"/>
      <c r="K161" s="40"/>
      <c r="L161" s="40"/>
      <c r="M161" s="40"/>
      <c r="N161" s="40"/>
      <c r="O161" s="40"/>
      <c r="P161" s="40"/>
      <c r="Q161" s="40"/>
    </row>
    <row r="162" spans="1:17" hidden="1">
      <c r="A162" s="40"/>
      <c r="B162" s="40"/>
      <c r="C162" s="40"/>
      <c r="D162" s="40"/>
      <c r="E162" s="40"/>
      <c r="F162" s="40"/>
      <c r="G162" s="40"/>
      <c r="H162" s="40"/>
      <c r="I162" s="40"/>
      <c r="J162" s="40"/>
      <c r="K162" s="40"/>
      <c r="L162" s="40"/>
      <c r="M162" s="40"/>
      <c r="N162" s="40"/>
      <c r="O162" s="40"/>
      <c r="P162" s="40"/>
      <c r="Q162" s="40"/>
    </row>
    <row r="163" spans="1:17" hidden="1">
      <c r="A163" s="40"/>
      <c r="B163" s="40"/>
      <c r="C163" s="40"/>
      <c r="D163" s="40"/>
      <c r="E163" s="40"/>
      <c r="F163" s="40"/>
      <c r="G163" s="40"/>
      <c r="H163" s="40"/>
      <c r="I163" s="40"/>
      <c r="J163" s="40"/>
      <c r="K163" s="40"/>
      <c r="L163" s="40"/>
      <c r="M163" s="40"/>
      <c r="N163" s="40"/>
      <c r="O163" s="40"/>
      <c r="P163" s="40"/>
      <c r="Q163" s="40"/>
    </row>
    <row r="164" spans="1:17" hidden="1">
      <c r="A164" s="40"/>
      <c r="B164" s="40"/>
      <c r="C164" s="40"/>
      <c r="D164" s="40"/>
      <c r="E164" s="40"/>
      <c r="F164" s="40"/>
      <c r="G164" s="40"/>
      <c r="H164" s="40"/>
      <c r="I164" s="40"/>
      <c r="J164" s="40"/>
      <c r="K164" s="40"/>
      <c r="L164" s="40"/>
      <c r="M164" s="40"/>
      <c r="N164" s="40"/>
      <c r="O164" s="40"/>
      <c r="P164" s="40"/>
      <c r="Q164" s="40"/>
    </row>
    <row r="165" spans="1:17" hidden="1">
      <c r="A165" s="40"/>
      <c r="B165" s="40"/>
      <c r="C165" s="40"/>
      <c r="D165" s="40"/>
      <c r="E165" s="40"/>
      <c r="F165" s="40"/>
      <c r="G165" s="40"/>
      <c r="H165" s="40"/>
      <c r="I165" s="40"/>
      <c r="J165" s="40"/>
      <c r="K165" s="40"/>
      <c r="L165" s="40"/>
      <c r="M165" s="40"/>
      <c r="N165" s="40"/>
      <c r="O165" s="40"/>
      <c r="P165" s="40"/>
      <c r="Q165" s="40"/>
    </row>
    <row r="166" spans="1:17" hidden="1">
      <c r="A166" s="40"/>
      <c r="B166" s="40"/>
      <c r="C166" s="40"/>
      <c r="D166" s="40"/>
      <c r="E166" s="40"/>
      <c r="F166" s="40"/>
      <c r="G166" s="40"/>
      <c r="H166" s="40"/>
      <c r="I166" s="40"/>
      <c r="J166" s="40"/>
      <c r="K166" s="40"/>
      <c r="L166" s="40"/>
      <c r="M166" s="40"/>
      <c r="N166" s="40"/>
      <c r="O166" s="40"/>
      <c r="P166" s="40"/>
      <c r="Q166" s="40"/>
    </row>
    <row r="167" spans="1:17" hidden="1">
      <c r="A167" s="40"/>
      <c r="B167" s="40"/>
      <c r="C167" s="40"/>
      <c r="D167" s="40"/>
      <c r="E167" s="40"/>
      <c r="F167" s="40"/>
      <c r="G167" s="40"/>
      <c r="H167" s="40"/>
      <c r="I167" s="40"/>
      <c r="J167" s="40"/>
      <c r="K167" s="40"/>
      <c r="L167" s="40"/>
      <c r="M167" s="40"/>
      <c r="N167" s="40"/>
      <c r="O167" s="40"/>
      <c r="P167" s="40"/>
      <c r="Q167" s="40"/>
    </row>
    <row r="168" spans="1:17" hidden="1">
      <c r="A168" s="40"/>
      <c r="B168" s="40"/>
      <c r="C168" s="40"/>
      <c r="D168" s="40"/>
      <c r="E168" s="40"/>
      <c r="F168" s="40"/>
      <c r="G168" s="40"/>
      <c r="H168" s="40"/>
      <c r="I168" s="40"/>
      <c r="J168" s="40"/>
      <c r="K168" s="40"/>
      <c r="L168" s="40"/>
      <c r="M168" s="40"/>
      <c r="N168" s="40"/>
      <c r="O168" s="40"/>
      <c r="P168" s="40"/>
      <c r="Q168" s="40"/>
    </row>
    <row r="169" spans="1:17" hidden="1">
      <c r="A169" s="40"/>
      <c r="B169" s="40"/>
      <c r="C169" s="40"/>
      <c r="D169" s="40"/>
      <c r="E169" s="40"/>
      <c r="F169" s="40"/>
      <c r="G169" s="40"/>
      <c r="H169" s="40"/>
      <c r="I169" s="40"/>
      <c r="J169" s="40"/>
      <c r="K169" s="40"/>
      <c r="L169" s="40"/>
      <c r="M169" s="40"/>
      <c r="N169" s="40"/>
      <c r="O169" s="40"/>
      <c r="P169" s="40"/>
      <c r="Q169" s="40"/>
    </row>
    <row r="170" spans="1:17" hidden="1">
      <c r="A170" s="40"/>
      <c r="B170" s="40"/>
      <c r="C170" s="40"/>
      <c r="D170" s="40"/>
      <c r="E170" s="40"/>
      <c r="F170" s="40"/>
      <c r="G170" s="40"/>
      <c r="H170" s="40"/>
      <c r="I170" s="40"/>
      <c r="J170" s="40"/>
      <c r="K170" s="40"/>
      <c r="L170" s="40"/>
      <c r="M170" s="40"/>
      <c r="N170" s="40"/>
      <c r="O170" s="40"/>
      <c r="P170" s="40"/>
      <c r="Q170" s="40"/>
    </row>
    <row r="171" spans="1:17" hidden="1">
      <c r="A171" s="40"/>
      <c r="B171" s="40"/>
      <c r="C171" s="40"/>
      <c r="D171" s="40"/>
      <c r="E171" s="40"/>
      <c r="F171" s="40"/>
      <c r="G171" s="40"/>
      <c r="H171" s="40"/>
      <c r="I171" s="40"/>
      <c r="J171" s="40"/>
      <c r="K171" s="40"/>
      <c r="L171" s="40"/>
      <c r="M171" s="40"/>
      <c r="N171" s="40"/>
      <c r="O171" s="40"/>
      <c r="P171" s="40"/>
      <c r="Q171" s="40"/>
    </row>
    <row r="172" spans="1:17" hidden="1">
      <c r="A172" s="40"/>
      <c r="B172" s="40"/>
      <c r="C172" s="40"/>
      <c r="D172" s="40"/>
      <c r="E172" s="40"/>
      <c r="F172" s="40"/>
      <c r="G172" s="40"/>
      <c r="H172" s="40"/>
      <c r="I172" s="40"/>
      <c r="J172" s="40"/>
      <c r="K172" s="40"/>
      <c r="L172" s="40"/>
      <c r="M172" s="40"/>
      <c r="N172" s="40"/>
      <c r="O172" s="40"/>
      <c r="P172" s="40"/>
      <c r="Q172" s="40"/>
    </row>
    <row r="173" spans="1:17" hidden="1">
      <c r="A173" s="40"/>
      <c r="B173" s="40"/>
      <c r="C173" s="40"/>
      <c r="D173" s="40"/>
      <c r="E173" s="40"/>
      <c r="F173" s="40"/>
      <c r="G173" s="40"/>
      <c r="H173" s="40"/>
      <c r="I173" s="40"/>
      <c r="J173" s="40"/>
      <c r="K173" s="40"/>
      <c r="L173" s="40"/>
      <c r="M173" s="40"/>
      <c r="N173" s="40"/>
      <c r="O173" s="40"/>
      <c r="P173" s="40"/>
      <c r="Q173" s="40"/>
    </row>
    <row r="174" spans="1:17" hidden="1">
      <c r="A174" s="40"/>
      <c r="B174" s="40"/>
      <c r="C174" s="40"/>
      <c r="D174" s="40"/>
      <c r="E174" s="40"/>
      <c r="F174" s="40"/>
      <c r="G174" s="40"/>
      <c r="H174" s="40"/>
      <c r="I174" s="40"/>
      <c r="J174" s="40"/>
      <c r="K174" s="40"/>
      <c r="L174" s="40"/>
      <c r="M174" s="40"/>
      <c r="N174" s="40"/>
      <c r="O174" s="40"/>
      <c r="P174" s="40"/>
      <c r="Q174" s="40"/>
    </row>
    <row r="175" spans="1:17" hidden="1">
      <c r="A175" s="40"/>
      <c r="B175" s="40"/>
      <c r="C175" s="40"/>
      <c r="D175" s="40"/>
      <c r="E175" s="40"/>
      <c r="F175" s="40"/>
      <c r="G175" s="40"/>
      <c r="H175" s="40"/>
      <c r="I175" s="40"/>
      <c r="J175" s="40"/>
      <c r="K175" s="40"/>
      <c r="L175" s="40"/>
      <c r="M175" s="40"/>
      <c r="N175" s="40"/>
      <c r="O175" s="40"/>
      <c r="P175" s="40"/>
      <c r="Q175" s="40"/>
    </row>
    <row r="176" spans="1:17" hidden="1">
      <c r="A176" s="40"/>
      <c r="B176" s="40"/>
      <c r="C176" s="40"/>
      <c r="D176" s="40"/>
      <c r="E176" s="40"/>
      <c r="F176" s="40"/>
      <c r="G176" s="40"/>
      <c r="H176" s="40"/>
      <c r="I176" s="40"/>
      <c r="J176" s="40"/>
      <c r="K176" s="40"/>
      <c r="L176" s="40"/>
      <c r="M176" s="40"/>
      <c r="N176" s="40"/>
      <c r="O176" s="40"/>
      <c r="P176" s="40"/>
      <c r="Q176" s="40"/>
    </row>
    <row r="177" spans="1:17" hidden="1">
      <c r="A177" s="40"/>
      <c r="B177" s="40"/>
      <c r="C177" s="40"/>
      <c r="D177" s="40"/>
      <c r="E177" s="40"/>
      <c r="F177" s="40"/>
      <c r="G177" s="40"/>
      <c r="H177" s="40"/>
      <c r="I177" s="40"/>
      <c r="J177" s="40"/>
      <c r="K177" s="40"/>
      <c r="L177" s="40"/>
      <c r="M177" s="40"/>
      <c r="N177" s="40"/>
      <c r="O177" s="40"/>
      <c r="P177" s="40"/>
      <c r="Q177" s="40"/>
    </row>
    <row r="178" spans="1:17" hidden="1">
      <c r="A178" s="40"/>
      <c r="B178" s="40"/>
      <c r="C178" s="40"/>
      <c r="D178" s="40"/>
      <c r="E178" s="40"/>
      <c r="F178" s="40"/>
      <c r="G178" s="40"/>
      <c r="H178" s="40"/>
      <c r="I178" s="40"/>
      <c r="J178" s="40"/>
      <c r="K178" s="40"/>
      <c r="L178" s="40"/>
      <c r="M178" s="40"/>
      <c r="N178" s="40"/>
      <c r="O178" s="40"/>
      <c r="P178" s="40"/>
      <c r="Q178" s="40"/>
    </row>
    <row r="179" spans="1:17" hidden="1">
      <c r="A179" s="40"/>
      <c r="B179" s="40"/>
      <c r="C179" s="40"/>
      <c r="D179" s="40"/>
      <c r="E179" s="40"/>
      <c r="F179" s="40"/>
      <c r="G179" s="40"/>
      <c r="H179" s="40"/>
      <c r="I179" s="40"/>
      <c r="J179" s="40"/>
      <c r="K179" s="40"/>
      <c r="L179" s="40"/>
      <c r="M179" s="40"/>
      <c r="N179" s="40"/>
      <c r="O179" s="40"/>
      <c r="P179" s="40"/>
      <c r="Q179" s="40"/>
    </row>
    <row r="180" spans="1:17" hidden="1">
      <c r="A180" s="40"/>
      <c r="B180" s="40"/>
      <c r="C180" s="40"/>
      <c r="D180" s="40"/>
      <c r="E180" s="40"/>
      <c r="F180" s="40"/>
      <c r="G180" s="40"/>
      <c r="H180" s="40"/>
      <c r="I180" s="40"/>
      <c r="J180" s="40"/>
      <c r="K180" s="40"/>
      <c r="L180" s="40"/>
      <c r="M180" s="40"/>
      <c r="N180" s="40"/>
      <c r="O180" s="40"/>
      <c r="P180" s="40"/>
      <c r="Q180" s="40"/>
    </row>
    <row r="181" spans="1:17" hidden="1">
      <c r="A181" s="40"/>
      <c r="B181" s="40"/>
      <c r="C181" s="40"/>
      <c r="D181" s="40"/>
      <c r="E181" s="40"/>
      <c r="F181" s="40"/>
      <c r="G181" s="40"/>
      <c r="H181" s="40"/>
      <c r="I181" s="40"/>
      <c r="J181" s="40"/>
      <c r="K181" s="40"/>
      <c r="L181" s="40"/>
      <c r="M181" s="40"/>
      <c r="N181" s="40"/>
      <c r="O181" s="40"/>
      <c r="P181" s="40"/>
      <c r="Q181" s="40"/>
    </row>
    <row r="182" spans="1:17" hidden="1">
      <c r="A182" s="40"/>
      <c r="B182" s="40"/>
      <c r="C182" s="40"/>
      <c r="D182" s="40"/>
      <c r="E182" s="40"/>
      <c r="F182" s="40"/>
      <c r="G182" s="40"/>
      <c r="H182" s="40"/>
      <c r="I182" s="40"/>
      <c r="J182" s="40"/>
      <c r="K182" s="40"/>
      <c r="L182" s="40"/>
      <c r="M182" s="40"/>
      <c r="N182" s="40"/>
      <c r="O182" s="40"/>
      <c r="P182" s="40"/>
      <c r="Q182" s="40"/>
    </row>
    <row r="183" spans="1:17" hidden="1">
      <c r="A183" s="40"/>
      <c r="B183" s="40"/>
      <c r="C183" s="40"/>
      <c r="D183" s="40"/>
      <c r="E183" s="40"/>
      <c r="F183" s="40"/>
      <c r="G183" s="40"/>
      <c r="H183" s="40"/>
      <c r="I183" s="40"/>
      <c r="J183" s="40"/>
      <c r="K183" s="40"/>
      <c r="L183" s="40"/>
      <c r="M183" s="40"/>
      <c r="N183" s="40"/>
      <c r="O183" s="40"/>
      <c r="P183" s="40"/>
      <c r="Q183" s="40"/>
    </row>
    <row r="184" spans="1:17" hidden="1">
      <c r="A184" s="40"/>
      <c r="B184" s="40"/>
      <c r="C184" s="40"/>
      <c r="D184" s="40"/>
      <c r="E184" s="40"/>
      <c r="F184" s="40"/>
      <c r="G184" s="40"/>
      <c r="H184" s="40"/>
      <c r="I184" s="40"/>
      <c r="J184" s="40"/>
      <c r="K184" s="40"/>
      <c r="L184" s="40"/>
      <c r="M184" s="40"/>
      <c r="N184" s="40"/>
      <c r="O184" s="40"/>
      <c r="P184" s="40"/>
      <c r="Q184" s="40"/>
    </row>
    <row r="185" spans="1:17" hidden="1">
      <c r="A185" s="40"/>
      <c r="B185" s="40"/>
      <c r="C185" s="40"/>
      <c r="D185" s="40"/>
      <c r="E185" s="40"/>
      <c r="F185" s="40"/>
      <c r="G185" s="40"/>
      <c r="H185" s="40"/>
      <c r="I185" s="40"/>
      <c r="J185" s="40"/>
      <c r="K185" s="40"/>
      <c r="L185" s="40"/>
      <c r="M185" s="40"/>
      <c r="N185" s="40"/>
      <c r="O185" s="40"/>
      <c r="P185" s="40"/>
      <c r="Q185" s="40"/>
    </row>
    <row r="186" spans="1:17" hidden="1">
      <c r="A186" s="40"/>
      <c r="B186" s="40"/>
      <c r="C186" s="40"/>
      <c r="D186" s="40"/>
      <c r="E186" s="40"/>
      <c r="F186" s="40"/>
      <c r="G186" s="40"/>
      <c r="H186" s="40"/>
      <c r="I186" s="40"/>
      <c r="J186" s="40"/>
      <c r="K186" s="40"/>
      <c r="L186" s="40"/>
      <c r="M186" s="40"/>
      <c r="N186" s="40"/>
      <c r="O186" s="40"/>
      <c r="P186" s="40"/>
      <c r="Q186" s="40"/>
    </row>
    <row r="187" spans="1:17" hidden="1">
      <c r="A187" s="40"/>
      <c r="B187" s="40"/>
      <c r="C187" s="40"/>
      <c r="D187" s="40"/>
      <c r="E187" s="40"/>
      <c r="F187" s="40"/>
      <c r="G187" s="40"/>
      <c r="H187" s="40"/>
      <c r="I187" s="40"/>
      <c r="J187" s="40"/>
      <c r="K187" s="40"/>
      <c r="L187" s="40"/>
      <c r="M187" s="40"/>
      <c r="N187" s="40"/>
      <c r="O187" s="40"/>
      <c r="P187" s="40"/>
      <c r="Q187" s="40"/>
    </row>
    <row r="188" spans="1:17" hidden="1">
      <c r="A188" s="40"/>
      <c r="B188" s="40"/>
      <c r="C188" s="40"/>
      <c r="D188" s="40"/>
      <c r="E188" s="40"/>
      <c r="F188" s="40"/>
      <c r="G188" s="40"/>
      <c r="H188" s="40"/>
      <c r="I188" s="40"/>
      <c r="J188" s="40"/>
      <c r="K188" s="40"/>
      <c r="L188" s="40"/>
      <c r="M188" s="40"/>
      <c r="N188" s="40"/>
      <c r="O188" s="40"/>
      <c r="P188" s="40"/>
      <c r="Q188" s="40"/>
    </row>
    <row r="189" spans="1:17" hidden="1">
      <c r="A189" s="40"/>
      <c r="B189" s="40"/>
      <c r="C189" s="40"/>
      <c r="D189" s="40"/>
      <c r="E189" s="40"/>
      <c r="F189" s="40"/>
      <c r="G189" s="40"/>
      <c r="H189" s="40"/>
      <c r="I189" s="40"/>
      <c r="J189" s="40"/>
      <c r="K189" s="40"/>
      <c r="L189" s="40"/>
      <c r="M189" s="40"/>
      <c r="N189" s="40"/>
      <c r="O189" s="40"/>
      <c r="P189" s="40"/>
      <c r="Q189" s="40"/>
    </row>
    <row r="190" spans="1:17" hidden="1">
      <c r="A190" s="40"/>
      <c r="B190" s="40"/>
      <c r="C190" s="40"/>
      <c r="D190" s="40"/>
      <c r="E190" s="40"/>
      <c r="F190" s="40"/>
      <c r="G190" s="40"/>
      <c r="H190" s="40"/>
      <c r="I190" s="40"/>
      <c r="J190" s="40"/>
      <c r="K190" s="40"/>
      <c r="L190" s="40"/>
      <c r="M190" s="40"/>
      <c r="N190" s="40"/>
      <c r="O190" s="40"/>
      <c r="P190" s="40"/>
      <c r="Q190" s="40"/>
    </row>
    <row r="191" spans="1:17" hidden="1">
      <c r="A191" s="40"/>
      <c r="B191" s="40"/>
      <c r="C191" s="40"/>
      <c r="D191" s="40"/>
      <c r="E191" s="40"/>
      <c r="F191" s="40"/>
      <c r="G191" s="40"/>
      <c r="H191" s="40"/>
      <c r="I191" s="40"/>
      <c r="J191" s="40"/>
      <c r="K191" s="40"/>
      <c r="L191" s="40"/>
      <c r="M191" s="40"/>
      <c r="N191" s="40"/>
      <c r="O191" s="40"/>
      <c r="P191" s="40"/>
      <c r="Q191" s="40"/>
    </row>
    <row r="192" spans="1:17" hidden="1">
      <c r="A192" s="40"/>
      <c r="B192" s="40"/>
      <c r="C192" s="40"/>
      <c r="D192" s="40"/>
      <c r="E192" s="40"/>
      <c r="F192" s="40"/>
      <c r="G192" s="40"/>
      <c r="H192" s="40"/>
      <c r="I192" s="40"/>
      <c r="J192" s="40"/>
      <c r="K192" s="40"/>
      <c r="L192" s="40"/>
      <c r="M192" s="40"/>
      <c r="N192" s="40"/>
      <c r="O192" s="40"/>
      <c r="P192" s="40"/>
      <c r="Q192" s="40"/>
    </row>
    <row r="193" spans="1:17" hidden="1">
      <c r="A193" s="40"/>
      <c r="B193" s="40"/>
      <c r="C193" s="40"/>
      <c r="D193" s="40"/>
      <c r="E193" s="40"/>
      <c r="F193" s="40"/>
      <c r="G193" s="40"/>
      <c r="H193" s="40"/>
      <c r="I193" s="40"/>
      <c r="J193" s="40"/>
      <c r="K193" s="40"/>
      <c r="L193" s="40"/>
      <c r="M193" s="40"/>
      <c r="N193" s="40"/>
      <c r="O193" s="40"/>
      <c r="P193" s="40"/>
      <c r="Q193" s="40"/>
    </row>
    <row r="194" spans="1:17" hidden="1">
      <c r="A194" s="40"/>
      <c r="B194" s="40"/>
      <c r="C194" s="40"/>
      <c r="D194" s="40"/>
      <c r="E194" s="40"/>
      <c r="F194" s="40"/>
      <c r="G194" s="40"/>
      <c r="H194" s="40"/>
      <c r="I194" s="40"/>
      <c r="J194" s="40"/>
      <c r="K194" s="40"/>
      <c r="L194" s="40"/>
      <c r="M194" s="40"/>
      <c r="N194" s="40"/>
      <c r="O194" s="40"/>
      <c r="P194" s="40"/>
      <c r="Q194" s="40"/>
    </row>
    <row r="195" spans="1:17" hidden="1">
      <c r="A195" s="40"/>
      <c r="B195" s="40"/>
      <c r="C195" s="40"/>
      <c r="D195" s="40"/>
      <c r="E195" s="40"/>
      <c r="F195" s="40"/>
      <c r="G195" s="40"/>
      <c r="H195" s="40"/>
      <c r="I195" s="40"/>
      <c r="J195" s="40"/>
      <c r="K195" s="40"/>
      <c r="L195" s="40"/>
      <c r="M195" s="40"/>
      <c r="N195" s="40"/>
      <c r="O195" s="40"/>
      <c r="P195" s="40"/>
      <c r="Q195" s="40"/>
    </row>
    <row r="196" spans="1:17" hidden="1">
      <c r="A196" s="40"/>
      <c r="B196" s="40"/>
      <c r="C196" s="40"/>
      <c r="D196" s="40"/>
      <c r="E196" s="40"/>
      <c r="F196" s="40"/>
      <c r="G196" s="40"/>
      <c r="H196" s="40"/>
      <c r="I196" s="40"/>
      <c r="J196" s="40"/>
      <c r="K196" s="40"/>
      <c r="L196" s="40"/>
      <c r="M196" s="40"/>
      <c r="N196" s="40"/>
      <c r="O196" s="40"/>
      <c r="P196" s="40"/>
      <c r="Q196" s="40"/>
    </row>
    <row r="197" spans="1:17" hidden="1">
      <c r="A197" s="40"/>
      <c r="B197" s="40"/>
      <c r="C197" s="40"/>
      <c r="D197" s="40"/>
      <c r="E197" s="40"/>
      <c r="F197" s="40"/>
      <c r="G197" s="40"/>
      <c r="H197" s="40"/>
      <c r="I197" s="40"/>
      <c r="J197" s="40"/>
      <c r="K197" s="40"/>
      <c r="L197" s="40"/>
      <c r="M197" s="40"/>
      <c r="N197" s="40"/>
      <c r="O197" s="40"/>
      <c r="P197" s="40"/>
      <c r="Q197" s="40"/>
    </row>
    <row r="198" spans="1:17" hidden="1">
      <c r="A198" s="40"/>
      <c r="B198" s="40"/>
      <c r="C198" s="40"/>
      <c r="D198" s="40"/>
      <c r="E198" s="40"/>
      <c r="F198" s="40"/>
      <c r="G198" s="40"/>
      <c r="H198" s="40"/>
      <c r="I198" s="40"/>
      <c r="J198" s="40"/>
      <c r="K198" s="40"/>
      <c r="L198" s="40"/>
      <c r="M198" s="40"/>
      <c r="N198" s="40"/>
      <c r="O198" s="40"/>
      <c r="P198" s="40"/>
      <c r="Q198" s="40"/>
    </row>
    <row r="199" spans="1:17" hidden="1">
      <c r="A199" s="40"/>
      <c r="B199" s="40"/>
      <c r="C199" s="40"/>
      <c r="D199" s="40"/>
      <c r="E199" s="40"/>
      <c r="F199" s="40"/>
      <c r="G199" s="40"/>
      <c r="H199" s="40"/>
      <c r="I199" s="40"/>
      <c r="J199" s="40"/>
      <c r="K199" s="40"/>
      <c r="L199" s="40"/>
      <c r="M199" s="40"/>
      <c r="N199" s="40"/>
      <c r="O199" s="40"/>
      <c r="P199" s="40"/>
      <c r="Q199" s="40"/>
    </row>
    <row r="200" spans="1:17" hidden="1">
      <c r="A200" s="40"/>
      <c r="B200" s="40"/>
      <c r="C200" s="40"/>
      <c r="D200" s="40"/>
      <c r="E200" s="40"/>
      <c r="F200" s="40"/>
      <c r="G200" s="40"/>
      <c r="H200" s="40"/>
      <c r="I200" s="40"/>
      <c r="J200" s="40"/>
      <c r="K200" s="40"/>
      <c r="L200" s="40"/>
      <c r="M200" s="40"/>
      <c r="N200" s="40"/>
      <c r="O200" s="40"/>
      <c r="P200" s="40"/>
      <c r="Q200" s="40"/>
    </row>
    <row r="201" spans="1:17" hidden="1">
      <c r="A201" s="40"/>
      <c r="B201" s="40"/>
      <c r="C201" s="40"/>
      <c r="D201" s="40"/>
      <c r="E201" s="40"/>
      <c r="F201" s="40"/>
      <c r="G201" s="40"/>
      <c r="H201" s="40"/>
      <c r="I201" s="40"/>
      <c r="J201" s="40"/>
      <c r="K201" s="40"/>
      <c r="L201" s="40"/>
      <c r="M201" s="40"/>
      <c r="N201" s="40"/>
      <c r="O201" s="40"/>
      <c r="P201" s="40"/>
      <c r="Q201" s="40"/>
    </row>
    <row r="202" spans="1:17" hidden="1">
      <c r="A202" s="40"/>
      <c r="B202" s="40"/>
      <c r="C202" s="40"/>
      <c r="D202" s="40"/>
      <c r="E202" s="40"/>
      <c r="F202" s="40"/>
      <c r="G202" s="40"/>
      <c r="H202" s="40"/>
      <c r="I202" s="40"/>
      <c r="J202" s="40"/>
      <c r="K202" s="40"/>
      <c r="L202" s="40"/>
      <c r="M202" s="40"/>
      <c r="N202" s="40"/>
      <c r="O202" s="40"/>
      <c r="P202" s="40"/>
      <c r="Q202" s="40"/>
    </row>
    <row r="203" spans="1:17" hidden="1">
      <c r="A203" s="40"/>
      <c r="B203" s="40"/>
      <c r="C203" s="40"/>
      <c r="D203" s="40"/>
      <c r="E203" s="40"/>
      <c r="F203" s="40"/>
      <c r="G203" s="40"/>
      <c r="H203" s="40"/>
      <c r="I203" s="40"/>
      <c r="J203" s="40"/>
      <c r="K203" s="40"/>
      <c r="L203" s="40"/>
      <c r="M203" s="40"/>
      <c r="N203" s="40"/>
      <c r="O203" s="40"/>
      <c r="P203" s="40"/>
      <c r="Q203" s="40"/>
    </row>
    <row r="204" spans="1:17" hidden="1">
      <c r="A204" s="40"/>
      <c r="B204" s="40"/>
      <c r="C204" s="40"/>
      <c r="D204" s="40"/>
      <c r="E204" s="40"/>
      <c r="F204" s="40"/>
      <c r="G204" s="40"/>
      <c r="H204" s="40"/>
      <c r="I204" s="40"/>
      <c r="J204" s="40"/>
      <c r="K204" s="40"/>
      <c r="L204" s="40"/>
      <c r="M204" s="40"/>
      <c r="N204" s="40"/>
      <c r="O204" s="40"/>
      <c r="P204" s="40"/>
      <c r="Q204" s="40"/>
    </row>
    <row r="205" spans="1:17" hidden="1">
      <c r="A205" s="40"/>
      <c r="B205" s="40"/>
      <c r="C205" s="40"/>
      <c r="D205" s="40"/>
      <c r="E205" s="40"/>
      <c r="F205" s="40"/>
      <c r="G205" s="40"/>
      <c r="H205" s="40"/>
      <c r="I205" s="40"/>
      <c r="J205" s="40"/>
      <c r="K205" s="40"/>
      <c r="L205" s="40"/>
      <c r="M205" s="40"/>
      <c r="N205" s="40"/>
      <c r="O205" s="40"/>
      <c r="P205" s="40"/>
      <c r="Q205" s="40"/>
    </row>
    <row r="206" spans="1:17" hidden="1">
      <c r="A206" s="40"/>
      <c r="B206" s="40"/>
      <c r="C206" s="40"/>
      <c r="D206" s="40"/>
      <c r="E206" s="40"/>
      <c r="F206" s="40"/>
      <c r="G206" s="40"/>
      <c r="H206" s="40"/>
      <c r="I206" s="40"/>
      <c r="J206" s="40"/>
      <c r="K206" s="40"/>
      <c r="L206" s="40"/>
      <c r="M206" s="40"/>
      <c r="N206" s="40"/>
      <c r="O206" s="40"/>
      <c r="P206" s="40"/>
      <c r="Q206" s="40"/>
    </row>
    <row r="207" spans="1:17" hidden="1">
      <c r="A207" s="40"/>
      <c r="B207" s="40"/>
      <c r="C207" s="40"/>
      <c r="D207" s="40"/>
      <c r="E207" s="40"/>
      <c r="F207" s="40"/>
      <c r="G207" s="40"/>
      <c r="H207" s="40"/>
      <c r="I207" s="40"/>
      <c r="J207" s="40"/>
      <c r="K207" s="40"/>
      <c r="L207" s="40"/>
      <c r="M207" s="40"/>
      <c r="N207" s="40"/>
      <c r="O207" s="40"/>
      <c r="P207" s="40"/>
      <c r="Q207" s="40"/>
    </row>
    <row r="208" spans="1:17" hidden="1">
      <c r="A208" s="40"/>
      <c r="B208" s="40"/>
      <c r="C208" s="40"/>
      <c r="D208" s="40"/>
      <c r="E208" s="40"/>
      <c r="F208" s="40"/>
      <c r="G208" s="40"/>
      <c r="H208" s="40"/>
      <c r="I208" s="40"/>
      <c r="J208" s="40"/>
      <c r="K208" s="40"/>
      <c r="L208" s="40"/>
      <c r="M208" s="40"/>
      <c r="N208" s="40"/>
      <c r="O208" s="40"/>
      <c r="P208" s="40"/>
      <c r="Q208" s="40"/>
    </row>
    <row r="209" spans="1:17" hidden="1">
      <c r="A209" s="40"/>
      <c r="B209" s="40"/>
      <c r="C209" s="40"/>
      <c r="D209" s="40"/>
      <c r="E209" s="40"/>
      <c r="F209" s="40"/>
      <c r="G209" s="40"/>
      <c r="H209" s="40"/>
      <c r="I209" s="40"/>
      <c r="J209" s="40"/>
      <c r="K209" s="40"/>
      <c r="L209" s="40"/>
      <c r="M209" s="40"/>
      <c r="N209" s="40"/>
      <c r="O209" s="40"/>
      <c r="P209" s="40"/>
      <c r="Q209" s="40"/>
    </row>
    <row r="210" spans="1:17" hidden="1">
      <c r="A210" s="40"/>
      <c r="B210" s="40"/>
      <c r="C210" s="40"/>
      <c r="D210" s="40"/>
      <c r="E210" s="40"/>
      <c r="F210" s="40"/>
      <c r="G210" s="40"/>
      <c r="H210" s="40"/>
      <c r="I210" s="40"/>
      <c r="J210" s="40"/>
      <c r="K210" s="40"/>
      <c r="L210" s="40"/>
      <c r="M210" s="40"/>
      <c r="N210" s="40"/>
      <c r="O210" s="40"/>
      <c r="P210" s="40"/>
      <c r="Q210" s="40"/>
    </row>
    <row r="211" spans="1:17" hidden="1">
      <c r="A211" s="40"/>
      <c r="B211" s="40"/>
      <c r="C211" s="40"/>
      <c r="D211" s="40"/>
      <c r="E211" s="40"/>
      <c r="F211" s="40"/>
      <c r="G211" s="40"/>
      <c r="H211" s="40"/>
      <c r="I211" s="40"/>
      <c r="J211" s="40"/>
      <c r="K211" s="40"/>
      <c r="L211" s="40"/>
      <c r="M211" s="40"/>
      <c r="N211" s="40"/>
      <c r="O211" s="40"/>
      <c r="P211" s="40"/>
      <c r="Q211" s="40"/>
    </row>
    <row r="212" spans="1:17" hidden="1">
      <c r="A212" s="40"/>
      <c r="B212" s="40"/>
      <c r="C212" s="40"/>
      <c r="D212" s="40"/>
      <c r="E212" s="40"/>
      <c r="F212" s="40"/>
      <c r="G212" s="40"/>
      <c r="H212" s="40"/>
      <c r="I212" s="40"/>
      <c r="J212" s="40"/>
      <c r="K212" s="40"/>
      <c r="L212" s="40"/>
      <c r="M212" s="40"/>
      <c r="N212" s="40"/>
      <c r="O212" s="40"/>
      <c r="P212" s="40"/>
      <c r="Q212" s="40"/>
    </row>
    <row r="213" spans="1:17" hidden="1">
      <c r="A213" s="40"/>
      <c r="B213" s="40"/>
      <c r="C213" s="40"/>
      <c r="D213" s="40"/>
      <c r="E213" s="40"/>
      <c r="F213" s="40"/>
      <c r="G213" s="40"/>
      <c r="H213" s="40"/>
      <c r="I213" s="40"/>
      <c r="J213" s="40"/>
      <c r="K213" s="40"/>
      <c r="L213" s="40"/>
      <c r="M213" s="40"/>
      <c r="N213" s="40"/>
      <c r="O213" s="40"/>
      <c r="P213" s="40"/>
      <c r="Q213" s="40"/>
    </row>
    <row r="214" spans="1:17" hidden="1">
      <c r="A214" s="40"/>
      <c r="B214" s="40"/>
      <c r="C214" s="40"/>
      <c r="D214" s="40"/>
      <c r="E214" s="40"/>
      <c r="F214" s="40"/>
      <c r="G214" s="40"/>
      <c r="H214" s="40"/>
      <c r="I214" s="40"/>
      <c r="J214" s="40"/>
      <c r="K214" s="40"/>
      <c r="L214" s="40"/>
      <c r="M214" s="40"/>
      <c r="N214" s="40"/>
      <c r="O214" s="40"/>
      <c r="P214" s="40"/>
      <c r="Q214" s="40"/>
    </row>
    <row r="215" spans="1:17" hidden="1">
      <c r="A215" s="40"/>
      <c r="B215" s="40"/>
      <c r="C215" s="40"/>
      <c r="D215" s="40"/>
      <c r="E215" s="40"/>
      <c r="F215" s="40"/>
      <c r="G215" s="40"/>
      <c r="H215" s="40"/>
      <c r="I215" s="40"/>
      <c r="J215" s="40"/>
      <c r="K215" s="40"/>
      <c r="L215" s="40"/>
      <c r="M215" s="40"/>
      <c r="N215" s="40"/>
      <c r="O215" s="40"/>
      <c r="P215" s="40"/>
      <c r="Q215" s="40"/>
    </row>
    <row r="216" spans="1:17" hidden="1">
      <c r="A216" s="40"/>
      <c r="B216" s="40"/>
      <c r="C216" s="40"/>
      <c r="D216" s="40"/>
      <c r="E216" s="40"/>
      <c r="F216" s="40"/>
      <c r="G216" s="40"/>
      <c r="H216" s="40"/>
      <c r="I216" s="40"/>
      <c r="J216" s="40"/>
      <c r="K216" s="40"/>
      <c r="L216" s="40"/>
      <c r="M216" s="40"/>
      <c r="N216" s="40"/>
      <c r="O216" s="40"/>
      <c r="P216" s="40"/>
      <c r="Q216" s="40"/>
    </row>
    <row r="217" spans="1:17" hidden="1">
      <c r="A217" s="40"/>
      <c r="B217" s="40"/>
      <c r="C217" s="40"/>
      <c r="D217" s="40"/>
      <c r="E217" s="40"/>
      <c r="F217" s="40"/>
      <c r="G217" s="40"/>
      <c r="H217" s="40"/>
      <c r="I217" s="40"/>
      <c r="J217" s="40"/>
      <c r="K217" s="40"/>
      <c r="L217" s="40"/>
      <c r="M217" s="40"/>
      <c r="N217" s="40"/>
      <c r="O217" s="40"/>
      <c r="P217" s="40"/>
      <c r="Q217" s="40"/>
    </row>
    <row r="218" spans="1:17" hidden="1">
      <c r="A218" s="40"/>
      <c r="B218" s="40"/>
      <c r="C218" s="40"/>
      <c r="D218" s="40"/>
      <c r="E218" s="40"/>
      <c r="F218" s="40"/>
      <c r="G218" s="40"/>
      <c r="H218" s="40"/>
      <c r="I218" s="40"/>
      <c r="J218" s="40"/>
      <c r="K218" s="40"/>
      <c r="L218" s="40"/>
      <c r="M218" s="40"/>
      <c r="N218" s="40"/>
      <c r="O218" s="40"/>
      <c r="P218" s="40"/>
      <c r="Q218" s="40"/>
    </row>
    <row r="219" spans="1:17" hidden="1">
      <c r="A219" s="40"/>
      <c r="B219" s="40"/>
      <c r="C219" s="40"/>
      <c r="D219" s="40"/>
      <c r="E219" s="40"/>
      <c r="F219" s="40"/>
      <c r="G219" s="40"/>
      <c r="H219" s="40"/>
      <c r="I219" s="40"/>
      <c r="J219" s="40"/>
      <c r="K219" s="40"/>
      <c r="L219" s="40"/>
      <c r="M219" s="40"/>
      <c r="N219" s="40"/>
      <c r="O219" s="40"/>
      <c r="P219" s="40"/>
      <c r="Q219" s="40"/>
    </row>
    <row r="220" spans="1:17" hidden="1">
      <c r="A220" s="40"/>
      <c r="B220" s="40"/>
      <c r="C220" s="40"/>
      <c r="D220" s="40"/>
      <c r="E220" s="40"/>
      <c r="F220" s="40"/>
      <c r="G220" s="40"/>
      <c r="H220" s="40"/>
      <c r="I220" s="40"/>
      <c r="J220" s="40"/>
      <c r="K220" s="40"/>
      <c r="L220" s="40"/>
      <c r="M220" s="40"/>
      <c r="N220" s="40"/>
      <c r="O220" s="40"/>
      <c r="P220" s="40"/>
      <c r="Q220" s="40"/>
    </row>
    <row r="221" spans="1:17" hidden="1">
      <c r="A221" s="40"/>
      <c r="B221" s="40"/>
      <c r="C221" s="40"/>
      <c r="D221" s="40"/>
      <c r="E221" s="40"/>
      <c r="F221" s="40"/>
      <c r="G221" s="40"/>
      <c r="H221" s="40"/>
      <c r="I221" s="40"/>
      <c r="J221" s="40"/>
      <c r="K221" s="40"/>
      <c r="L221" s="40"/>
      <c r="M221" s="40"/>
      <c r="N221" s="40"/>
      <c r="O221" s="40"/>
      <c r="P221" s="40"/>
      <c r="Q221" s="40"/>
    </row>
    <row r="222" spans="1:17" hidden="1">
      <c r="A222" s="40"/>
      <c r="B222" s="40"/>
      <c r="C222" s="40"/>
      <c r="D222" s="40"/>
      <c r="E222" s="40"/>
      <c r="F222" s="40"/>
      <c r="H222" s="40"/>
      <c r="I222" s="40"/>
      <c r="J222" s="40"/>
      <c r="K222" s="40"/>
      <c r="L222" s="40"/>
      <c r="M222" s="40"/>
      <c r="N222" s="40"/>
      <c r="O222" s="40"/>
      <c r="P222" s="40"/>
      <c r="Q222" s="40"/>
    </row>
    <row r="223" spans="1:17" hidden="1">
      <c r="A223" s="40"/>
      <c r="B223" s="40"/>
      <c r="C223" s="40"/>
      <c r="D223" s="40"/>
      <c r="E223" s="40"/>
      <c r="F223" s="40"/>
      <c r="H223" s="40"/>
      <c r="I223" s="40"/>
      <c r="J223" s="40"/>
      <c r="K223" s="40"/>
      <c r="L223" s="40"/>
      <c r="M223" s="40"/>
      <c r="N223" s="40"/>
      <c r="O223" s="40"/>
      <c r="P223" s="40"/>
      <c r="Q223" s="40"/>
    </row>
    <row r="224" spans="1:17" hidden="1">
      <c r="A224" s="40"/>
      <c r="B224" s="40"/>
      <c r="C224" s="40"/>
      <c r="D224" s="40"/>
      <c r="E224" s="40"/>
      <c r="F224" s="40"/>
      <c r="H224" s="40"/>
      <c r="I224" s="40"/>
      <c r="J224" s="40"/>
      <c r="K224" s="40"/>
      <c r="L224" s="40"/>
      <c r="M224" s="40"/>
      <c r="N224" s="40"/>
      <c r="O224" s="40"/>
      <c r="P224" s="40"/>
      <c r="Q224" s="40"/>
    </row>
    <row r="225" spans="1:17" hidden="1">
      <c r="A225" s="40"/>
      <c r="B225" s="40"/>
      <c r="C225" s="40"/>
      <c r="D225" s="40"/>
      <c r="E225" s="40"/>
      <c r="F225" s="40"/>
      <c r="H225" s="40"/>
      <c r="I225" s="40"/>
      <c r="J225" s="40"/>
      <c r="K225" s="40"/>
      <c r="L225" s="40"/>
      <c r="M225" s="40"/>
      <c r="N225" s="40"/>
      <c r="O225" s="40"/>
      <c r="P225" s="40"/>
      <c r="Q225" s="40"/>
    </row>
    <row r="226" spans="1:17" hidden="1">
      <c r="A226" s="40"/>
      <c r="B226" s="40"/>
      <c r="C226" s="40"/>
      <c r="D226" s="40"/>
      <c r="E226" s="40"/>
      <c r="F226" s="40"/>
      <c r="H226" s="40"/>
      <c r="I226" s="40"/>
      <c r="J226" s="40"/>
      <c r="K226" s="40"/>
      <c r="L226" s="40"/>
      <c r="M226" s="40"/>
      <c r="N226" s="40"/>
      <c r="O226" s="40"/>
      <c r="P226" s="40"/>
      <c r="Q226" s="40"/>
    </row>
    <row r="227" spans="1:17" hidden="1">
      <c r="A227" s="40"/>
      <c r="B227" s="40"/>
      <c r="C227" s="40"/>
      <c r="D227" s="40"/>
      <c r="E227" s="40"/>
      <c r="F227" s="40"/>
      <c r="H227" s="40"/>
      <c r="I227" s="40"/>
      <c r="J227" s="40"/>
      <c r="K227" s="40"/>
      <c r="L227" s="40"/>
      <c r="M227" s="40"/>
      <c r="N227" s="40"/>
      <c r="O227" s="40"/>
      <c r="P227" s="40"/>
      <c r="Q227" s="40"/>
    </row>
    <row r="228" spans="1:17" hidden="1">
      <c r="A228" s="40"/>
      <c r="B228" s="40"/>
      <c r="C228" s="40"/>
      <c r="D228" s="40"/>
      <c r="E228" s="40"/>
      <c r="F228" s="40"/>
      <c r="H228" s="40"/>
      <c r="I228" s="40"/>
      <c r="J228" s="40"/>
      <c r="K228" s="40"/>
      <c r="L228" s="40"/>
      <c r="M228" s="40"/>
      <c r="N228" s="40"/>
      <c r="O228" s="40"/>
      <c r="P228" s="40"/>
      <c r="Q228" s="40"/>
    </row>
    <row r="229" spans="1:17" hidden="1">
      <c r="A229" s="40"/>
      <c r="B229" s="40"/>
      <c r="C229" s="40"/>
      <c r="D229" s="40"/>
      <c r="E229" s="40"/>
      <c r="F229" s="40"/>
      <c r="H229" s="40"/>
      <c r="I229" s="40"/>
      <c r="J229" s="40"/>
      <c r="K229" s="40"/>
      <c r="L229" s="40"/>
      <c r="M229" s="40"/>
      <c r="N229" s="40"/>
      <c r="O229" s="40"/>
      <c r="P229" s="40"/>
      <c r="Q229" s="40"/>
    </row>
    <row r="230" spans="1:17" hidden="1">
      <c r="A230" s="40"/>
      <c r="B230" s="40"/>
      <c r="C230" s="40"/>
      <c r="D230" s="40"/>
      <c r="E230" s="40"/>
      <c r="F230" s="40"/>
      <c r="H230" s="40"/>
      <c r="I230" s="40"/>
      <c r="J230" s="40"/>
      <c r="K230" s="40"/>
      <c r="L230" s="40"/>
      <c r="M230" s="40"/>
      <c r="N230" s="40"/>
      <c r="O230" s="40"/>
      <c r="P230" s="40"/>
      <c r="Q230" s="40"/>
    </row>
    <row r="231" spans="1:17" hidden="1">
      <c r="A231" s="40"/>
      <c r="B231" s="40"/>
      <c r="C231" s="40"/>
      <c r="D231" s="40"/>
      <c r="E231" s="40"/>
      <c r="F231" s="40"/>
      <c r="H231" s="40"/>
      <c r="I231" s="40"/>
      <c r="J231" s="40"/>
      <c r="K231" s="40"/>
      <c r="L231" s="40"/>
      <c r="M231" s="40"/>
      <c r="N231" s="40"/>
      <c r="O231" s="40"/>
      <c r="P231" s="40"/>
      <c r="Q231" s="40"/>
    </row>
    <row r="232" spans="1:17" hidden="1">
      <c r="A232" s="40"/>
      <c r="B232" s="40"/>
      <c r="C232" s="40"/>
      <c r="D232" s="40"/>
      <c r="E232" s="40"/>
      <c r="F232" s="40"/>
      <c r="H232" s="40"/>
      <c r="I232" s="40"/>
      <c r="J232" s="40"/>
      <c r="K232" s="40"/>
      <c r="L232" s="40"/>
      <c r="M232" s="40"/>
      <c r="N232" s="40"/>
      <c r="O232" s="40"/>
      <c r="P232" s="40"/>
      <c r="Q232" s="40"/>
    </row>
    <row r="233" spans="1:17" hidden="1">
      <c r="A233" s="40"/>
      <c r="B233" s="40"/>
      <c r="C233" s="40"/>
      <c r="D233" s="40"/>
      <c r="E233" s="40"/>
      <c r="F233" s="40"/>
      <c r="H233" s="40"/>
      <c r="I233" s="40"/>
      <c r="J233" s="40"/>
      <c r="K233" s="40"/>
      <c r="L233" s="40"/>
      <c r="M233" s="40"/>
      <c r="N233" s="40"/>
      <c r="O233" s="40"/>
      <c r="P233" s="40"/>
      <c r="Q233" s="40"/>
    </row>
    <row r="234" spans="1:17" hidden="1">
      <c r="A234" s="40"/>
      <c r="B234" s="40"/>
      <c r="C234" s="40"/>
      <c r="D234" s="40"/>
      <c r="E234" s="40"/>
      <c r="F234" s="40"/>
      <c r="H234" s="40"/>
      <c r="I234" s="40"/>
      <c r="J234" s="40"/>
      <c r="K234" s="40"/>
      <c r="L234" s="40"/>
      <c r="M234" s="40"/>
      <c r="N234" s="40"/>
      <c r="O234" s="40"/>
      <c r="P234" s="40"/>
      <c r="Q234" s="40"/>
    </row>
    <row r="235" spans="1:17" hidden="1">
      <c r="A235" s="40"/>
      <c r="B235" s="40"/>
      <c r="C235" s="40"/>
      <c r="D235" s="40"/>
      <c r="E235" s="40"/>
      <c r="F235" s="40"/>
      <c r="H235" s="40"/>
      <c r="I235" s="40"/>
      <c r="J235" s="40"/>
      <c r="K235" s="40"/>
      <c r="L235" s="40"/>
      <c r="M235" s="40"/>
      <c r="N235" s="40"/>
      <c r="O235" s="40"/>
      <c r="P235" s="40"/>
      <c r="Q235" s="40"/>
    </row>
    <row r="236" spans="1:17" hidden="1">
      <c r="A236" s="40"/>
      <c r="B236" s="40"/>
      <c r="C236" s="40"/>
      <c r="D236" s="40"/>
      <c r="E236" s="40"/>
      <c r="F236" s="40"/>
      <c r="H236" s="40"/>
      <c r="I236" s="40"/>
      <c r="J236" s="40"/>
      <c r="K236" s="40"/>
      <c r="L236" s="40"/>
      <c r="M236" s="40"/>
      <c r="N236" s="40"/>
      <c r="O236" s="40"/>
      <c r="P236" s="40"/>
      <c r="Q236" s="40"/>
    </row>
    <row r="237" spans="1:17" hidden="1">
      <c r="A237" s="40"/>
      <c r="B237" s="40"/>
      <c r="C237" s="40"/>
      <c r="D237" s="40"/>
      <c r="E237" s="40"/>
      <c r="F237" s="40"/>
      <c r="H237" s="40"/>
      <c r="I237" s="40"/>
      <c r="J237" s="40"/>
      <c r="K237" s="40"/>
      <c r="L237" s="40"/>
      <c r="M237" s="40"/>
      <c r="N237" s="40"/>
      <c r="O237" s="40"/>
      <c r="P237" s="40"/>
      <c r="Q237" s="40"/>
    </row>
    <row r="238" spans="1:17" hidden="1">
      <c r="A238" s="40"/>
      <c r="B238" s="40"/>
      <c r="C238" s="40"/>
      <c r="D238" s="40"/>
      <c r="E238" s="40"/>
      <c r="F238" s="40"/>
      <c r="H238" s="40"/>
      <c r="I238" s="40"/>
      <c r="J238" s="40"/>
      <c r="K238" s="40"/>
      <c r="L238" s="40"/>
      <c r="M238" s="40"/>
      <c r="N238" s="40"/>
      <c r="O238" s="40"/>
      <c r="P238" s="40"/>
      <c r="Q238" s="40"/>
    </row>
    <row r="239" spans="1:17" hidden="1">
      <c r="A239" s="40"/>
      <c r="B239" s="40"/>
      <c r="C239" s="40"/>
      <c r="D239" s="40"/>
      <c r="E239" s="40"/>
      <c r="F239" s="40"/>
      <c r="H239" s="40"/>
      <c r="I239" s="40"/>
      <c r="J239" s="40"/>
      <c r="K239" s="40"/>
      <c r="L239" s="40"/>
      <c r="M239" s="40"/>
      <c r="N239" s="40"/>
      <c r="O239" s="40"/>
      <c r="P239" s="40"/>
      <c r="Q239" s="40"/>
    </row>
    <row r="240" spans="1:17" hidden="1">
      <c r="A240" s="40"/>
      <c r="B240" s="40"/>
      <c r="C240" s="40"/>
      <c r="D240" s="40"/>
      <c r="E240" s="40"/>
      <c r="F240" s="40"/>
      <c r="H240" s="40"/>
      <c r="I240" s="40"/>
      <c r="J240" s="40"/>
      <c r="K240" s="40"/>
      <c r="L240" s="40"/>
      <c r="M240" s="40"/>
      <c r="N240" s="40"/>
      <c r="O240" s="40"/>
      <c r="P240" s="40"/>
      <c r="Q240" s="40"/>
    </row>
    <row r="241" spans="1:17" hidden="1">
      <c r="A241" s="40"/>
      <c r="B241" s="40"/>
      <c r="C241" s="40"/>
      <c r="D241" s="40"/>
      <c r="E241" s="40"/>
      <c r="F241" s="40"/>
      <c r="H241" s="40"/>
      <c r="I241" s="40"/>
      <c r="J241" s="40"/>
      <c r="K241" s="40"/>
      <c r="L241" s="40"/>
      <c r="M241" s="40"/>
      <c r="N241" s="40"/>
      <c r="O241" s="40"/>
      <c r="P241" s="40"/>
      <c r="Q241" s="40"/>
    </row>
    <row r="242" spans="1:17" hidden="1">
      <c r="A242" s="40"/>
      <c r="B242" s="40"/>
      <c r="C242" s="40"/>
      <c r="D242" s="40"/>
      <c r="E242" s="40"/>
      <c r="F242" s="40"/>
      <c r="H242" s="40"/>
      <c r="I242" s="40"/>
      <c r="J242" s="40"/>
      <c r="K242" s="40"/>
      <c r="L242" s="40"/>
      <c r="M242" s="40"/>
      <c r="N242" s="40"/>
      <c r="O242" s="40"/>
      <c r="P242" s="40"/>
      <c r="Q242" s="40"/>
    </row>
    <row r="243" spans="1:17" hidden="1">
      <c r="A243" s="40"/>
      <c r="B243" s="40"/>
      <c r="C243" s="40"/>
      <c r="D243" s="40"/>
      <c r="E243" s="40"/>
      <c r="F243" s="40"/>
      <c r="H243" s="40"/>
      <c r="I243" s="40"/>
      <c r="J243" s="40"/>
      <c r="K243" s="40"/>
      <c r="L243" s="40"/>
      <c r="M243" s="40"/>
      <c r="N243" s="40"/>
      <c r="O243" s="40"/>
      <c r="P243" s="40"/>
      <c r="Q243" s="40"/>
    </row>
    <row r="244" spans="1:17" hidden="1">
      <c r="A244" s="40"/>
      <c r="B244" s="40"/>
      <c r="C244" s="40"/>
      <c r="D244" s="40"/>
      <c r="E244" s="40"/>
      <c r="F244" s="40"/>
      <c r="H244" s="40"/>
      <c r="I244" s="40"/>
      <c r="J244" s="40"/>
      <c r="K244" s="40"/>
      <c r="L244" s="40"/>
      <c r="M244" s="40"/>
      <c r="N244" s="40"/>
      <c r="O244" s="40"/>
      <c r="P244" s="40"/>
      <c r="Q244" s="40"/>
    </row>
    <row r="245" spans="1:17" hidden="1">
      <c r="A245" s="40"/>
      <c r="B245" s="40"/>
      <c r="C245" s="40"/>
      <c r="D245" s="40"/>
      <c r="E245" s="40"/>
      <c r="F245" s="40"/>
      <c r="H245" s="40"/>
      <c r="I245" s="40"/>
      <c r="J245" s="40"/>
      <c r="K245" s="40"/>
      <c r="L245" s="40"/>
      <c r="M245" s="40"/>
      <c r="N245" s="40"/>
      <c r="O245" s="40"/>
      <c r="P245" s="40"/>
      <c r="Q245" s="40"/>
    </row>
    <row r="246" spans="1:17" hidden="1">
      <c r="A246" s="40"/>
      <c r="B246" s="40"/>
      <c r="C246" s="40"/>
      <c r="D246" s="40"/>
      <c r="E246" s="40"/>
      <c r="F246" s="40"/>
      <c r="H246" s="40"/>
      <c r="K246" s="40"/>
      <c r="L246" s="40"/>
      <c r="M246" s="40"/>
      <c r="N246" s="40"/>
      <c r="O246" s="40"/>
      <c r="P246" s="40"/>
      <c r="Q246" s="40"/>
    </row>
    <row r="247" spans="1:17" hidden="1">
      <c r="A247" s="40"/>
      <c r="B247" s="40"/>
      <c r="C247" s="40"/>
      <c r="D247" s="40"/>
      <c r="E247" s="40"/>
      <c r="F247" s="40"/>
      <c r="H247" s="40"/>
      <c r="K247" s="40"/>
      <c r="L247" s="40"/>
      <c r="M247" s="40"/>
      <c r="N247" s="40"/>
      <c r="O247" s="40"/>
      <c r="P247" s="40"/>
      <c r="Q247" s="40"/>
    </row>
    <row r="248" spans="1:17" hidden="1">
      <c r="A248" s="40"/>
      <c r="B248" s="40"/>
      <c r="C248" s="40"/>
      <c r="D248" s="40"/>
      <c r="E248" s="40"/>
      <c r="F248" s="40"/>
      <c r="H248" s="40"/>
      <c r="K248" s="40"/>
      <c r="L248" s="40"/>
      <c r="M248" s="40"/>
      <c r="N248" s="40"/>
      <c r="O248" s="40"/>
      <c r="P248" s="40"/>
      <c r="Q248" s="40"/>
    </row>
    <row r="249" spans="1:17" hidden="1">
      <c r="A249" s="40"/>
      <c r="B249" s="40"/>
      <c r="C249" s="40"/>
      <c r="D249" s="40"/>
      <c r="E249" s="40"/>
      <c r="F249" s="40"/>
      <c r="H249" s="40"/>
      <c r="K249" s="40"/>
      <c r="L249" s="40"/>
      <c r="M249" s="40"/>
      <c r="N249" s="40"/>
      <c r="O249" s="40"/>
      <c r="P249" s="40"/>
      <c r="Q249" s="40"/>
    </row>
    <row r="250" spans="1:17" hidden="1">
      <c r="A250" s="40"/>
      <c r="B250" s="40"/>
      <c r="C250" s="40"/>
      <c r="D250" s="40"/>
      <c r="E250" s="40"/>
      <c r="F250" s="40"/>
      <c r="H250" s="40"/>
      <c r="K250" s="40"/>
      <c r="L250" s="40"/>
      <c r="M250" s="40"/>
      <c r="N250" s="40"/>
      <c r="O250" s="40"/>
      <c r="P250" s="40"/>
      <c r="Q250" s="40"/>
    </row>
    <row r="251" spans="1:17" hidden="1">
      <c r="A251" s="40"/>
      <c r="B251" s="40"/>
      <c r="C251" s="40"/>
      <c r="D251" s="40"/>
      <c r="E251" s="40"/>
      <c r="F251" s="40"/>
      <c r="H251" s="40"/>
      <c r="K251" s="40"/>
      <c r="L251" s="40"/>
      <c r="M251" s="40"/>
      <c r="N251" s="40"/>
      <c r="O251" s="40"/>
      <c r="P251" s="40"/>
      <c r="Q251" s="40"/>
    </row>
    <row r="252" spans="1:17" hidden="1">
      <c r="A252" s="40"/>
      <c r="B252" s="40"/>
      <c r="C252" s="40"/>
      <c r="D252" s="40"/>
      <c r="E252" s="40"/>
      <c r="F252" s="40"/>
      <c r="H252" s="40"/>
      <c r="K252" s="40"/>
      <c r="L252" s="40"/>
      <c r="M252" s="40"/>
      <c r="N252" s="40"/>
      <c r="O252" s="40"/>
      <c r="P252" s="40"/>
      <c r="Q252" s="40"/>
    </row>
    <row r="253" spans="1:17" hidden="1">
      <c r="A253" s="40"/>
      <c r="B253" s="40"/>
      <c r="C253" s="40"/>
      <c r="D253" s="40"/>
      <c r="E253" s="40"/>
      <c r="F253" s="40"/>
      <c r="H253" s="40"/>
      <c r="K253" s="40"/>
      <c r="L253" s="40"/>
      <c r="M253" s="40"/>
      <c r="N253" s="40"/>
      <c r="O253" s="40"/>
      <c r="P253" s="40"/>
      <c r="Q253" s="40"/>
    </row>
    <row r="254" spans="1:17" hidden="1">
      <c r="A254" s="40"/>
      <c r="B254" s="40"/>
      <c r="C254" s="40"/>
      <c r="D254" s="40"/>
      <c r="E254" s="40"/>
      <c r="F254" s="40"/>
      <c r="H254" s="40"/>
      <c r="K254" s="40"/>
      <c r="L254" s="40"/>
      <c r="M254" s="40"/>
      <c r="N254" s="40"/>
      <c r="O254" s="40"/>
      <c r="P254" s="40"/>
      <c r="Q254" s="40"/>
    </row>
    <row r="255" spans="1:17" hidden="1">
      <c r="A255" s="40"/>
      <c r="B255" s="40"/>
      <c r="C255" s="40"/>
      <c r="D255" s="40"/>
      <c r="E255" s="40"/>
      <c r="F255" s="40"/>
      <c r="H255" s="40"/>
      <c r="K255" s="40"/>
      <c r="L255" s="40"/>
      <c r="M255" s="40"/>
      <c r="N255" s="40"/>
      <c r="O255" s="40"/>
      <c r="P255" s="40"/>
      <c r="Q255" s="40"/>
    </row>
    <row r="256" spans="1:17" hidden="1">
      <c r="A256" s="40"/>
      <c r="B256" s="40"/>
      <c r="C256" s="40"/>
      <c r="D256" s="40"/>
      <c r="E256" s="40"/>
      <c r="F256" s="40"/>
      <c r="H256" s="40"/>
      <c r="K256" s="40"/>
      <c r="L256" s="40"/>
      <c r="M256" s="40"/>
      <c r="N256" s="40"/>
      <c r="O256" s="40"/>
      <c r="P256" s="40"/>
      <c r="Q256" s="40"/>
    </row>
    <row r="257" spans="1:17" hidden="1">
      <c r="A257" s="40"/>
      <c r="B257" s="40"/>
      <c r="C257" s="40"/>
      <c r="D257" s="40"/>
      <c r="E257" s="40"/>
      <c r="F257" s="40"/>
      <c r="H257" s="40"/>
      <c r="K257" s="40"/>
      <c r="L257" s="40"/>
      <c r="M257" s="40"/>
      <c r="N257" s="40"/>
      <c r="O257" s="40"/>
      <c r="P257" s="40"/>
      <c r="Q257" s="40"/>
    </row>
    <row r="258" spans="1:17" hidden="1">
      <c r="A258" s="40"/>
      <c r="B258" s="40"/>
      <c r="C258" s="40"/>
      <c r="D258" s="40"/>
      <c r="E258" s="40"/>
      <c r="F258" s="40"/>
      <c r="H258" s="40"/>
      <c r="K258" s="40"/>
      <c r="L258" s="40"/>
      <c r="M258" s="40"/>
      <c r="N258" s="40"/>
      <c r="O258" s="40"/>
      <c r="P258" s="40"/>
      <c r="Q258" s="40"/>
    </row>
    <row r="259" spans="1:17" hidden="1">
      <c r="A259" s="40"/>
    </row>
    <row r="260" spans="1:17" hidden="1">
      <c r="A260" s="40"/>
    </row>
    <row r="261" spans="1:17" hidden="1">
      <c r="A261" s="40"/>
    </row>
    <row r="262" spans="1:17" hidden="1">
      <c r="A262" s="40"/>
    </row>
    <row r="263" spans="1:17" hidden="1">
      <c r="A263" s="40"/>
    </row>
    <row r="264" spans="1:17" hidden="1">
      <c r="A264" s="40"/>
    </row>
    <row r="265" spans="1:17" hidden="1">
      <c r="A265" s="40"/>
    </row>
    <row r="266" spans="1:17" hidden="1">
      <c r="A266" s="40"/>
    </row>
    <row r="267" spans="1:17" hidden="1">
      <c r="A267" s="40"/>
    </row>
    <row r="268" spans="1:17" hidden="1">
      <c r="A268" s="40"/>
    </row>
    <row r="269" spans="1:17" hidden="1">
      <c r="A269" s="40"/>
    </row>
    <row r="270" spans="1:17" hidden="1">
      <c r="A270" s="40"/>
    </row>
    <row r="271" spans="1:17" hidden="1">
      <c r="A271" s="40"/>
    </row>
    <row r="272" spans="1:17" hidden="1">
      <c r="A272" s="40"/>
    </row>
    <row r="273" spans="1:1" hidden="1">
      <c r="A273" s="40"/>
    </row>
    <row r="274" spans="1:1" hidden="1">
      <c r="A274" s="40"/>
    </row>
    <row r="275" spans="1:1" hidden="1">
      <c r="A275" s="40"/>
    </row>
    <row r="276" spans="1:1" hidden="1">
      <c r="A276" s="40"/>
    </row>
    <row r="277" spans="1:1" hidden="1">
      <c r="A277" s="40"/>
    </row>
    <row r="278" spans="1:1" hidden="1">
      <c r="A278" s="40"/>
    </row>
    <row r="279" spans="1:1" hidden="1">
      <c r="A279" s="40"/>
    </row>
    <row r="280" spans="1:1" hidden="1">
      <c r="A280" s="40"/>
    </row>
    <row r="281" spans="1:1" hidden="1">
      <c r="A281" s="40"/>
    </row>
    <row r="282" spans="1:1" hidden="1">
      <c r="A282" s="40"/>
    </row>
    <row r="283" spans="1:1" hidden="1">
      <c r="A283" s="40"/>
    </row>
    <row r="284" spans="1:1" hidden="1">
      <c r="A284" s="40"/>
    </row>
    <row r="285" spans="1:1" hidden="1">
      <c r="A285" s="40"/>
    </row>
    <row r="286" spans="1:1" hidden="1">
      <c r="A286" s="40"/>
    </row>
    <row r="287" spans="1:1" hidden="1">
      <c r="A287" s="40"/>
    </row>
    <row r="288" spans="1:1" hidden="1">
      <c r="A288" s="40"/>
    </row>
    <row r="289" spans="1:1" hidden="1">
      <c r="A289" s="40"/>
    </row>
    <row r="290" spans="1:1" hidden="1">
      <c r="A290" s="40"/>
    </row>
    <row r="291" spans="1:1" hidden="1">
      <c r="A291" s="40"/>
    </row>
    <row r="292" spans="1:1" hidden="1">
      <c r="A292" s="40"/>
    </row>
    <row r="293" spans="1:1" hidden="1">
      <c r="A293" s="40"/>
    </row>
    <row r="294" spans="1:1" hidden="1">
      <c r="A294" s="40"/>
    </row>
    <row r="295" spans="1:1" hidden="1">
      <c r="A295" s="40"/>
    </row>
    <row r="296" spans="1:1" hidden="1">
      <c r="A296" s="40"/>
    </row>
    <row r="297" spans="1:1" hidden="1">
      <c r="A297" s="40"/>
    </row>
    <row r="298" spans="1:1" hidden="1">
      <c r="A298" s="40"/>
    </row>
    <row r="299" spans="1:1"/>
    <row r="300" spans="1:1"/>
    <row r="301" spans="1:1"/>
    <row r="302" spans="1:1"/>
    <row r="303" spans="1:1"/>
    <row r="304" spans="1:1"/>
    <row r="305"/>
    <row r="306"/>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87" zoomScaleNormal="87" workbookViewId="0">
      <pane ySplit="10" topLeftCell="A11" activePane="bottomLeft" state="frozen"/>
      <selection pane="bottomLeft" activeCell="I15" sqref="I15"/>
      <selection activeCell="S28" sqref="S28"/>
    </sheetView>
  </sheetViews>
  <sheetFormatPr defaultColWidth="0" defaultRowHeight="13.9" zeroHeight="1"/>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4.45" thickBot="1"/>
    <row r="2" spans="1:43" ht="18" thickBot="1">
      <c r="D2" s="896" t="str">
        <f>IF(Start!$F$12="","",Start!$F$12)</f>
        <v>Lea Castle Farm</v>
      </c>
      <c r="E2" s="897"/>
      <c r="F2" s="898"/>
    </row>
    <row r="3" spans="1:43" ht="15.6" customHeight="1">
      <c r="D3" s="890" t="e">
        <f ca="1">MID(CELL("filename",C1),FIND("]",CELL("filename",C1))+1,256)</f>
        <v>#VALUE!</v>
      </c>
      <c r="E3" s="891"/>
      <c r="F3" s="892"/>
      <c r="AC3" s="47" t="s">
        <v>188</v>
      </c>
      <c r="AD3" s="47" t="s">
        <v>188</v>
      </c>
      <c r="AE3" s="47" t="s">
        <v>188</v>
      </c>
      <c r="AF3" s="47" t="s">
        <v>188</v>
      </c>
      <c r="AG3" s="47" t="s">
        <v>188</v>
      </c>
      <c r="AH3" s="47" t="s">
        <v>188</v>
      </c>
      <c r="AI3" s="47" t="s">
        <v>188</v>
      </c>
      <c r="AJ3" s="47" t="s">
        <v>188</v>
      </c>
      <c r="AK3" s="47" t="s">
        <v>188</v>
      </c>
      <c r="AL3" s="47" t="s">
        <v>188</v>
      </c>
      <c r="AM3" s="47" t="s">
        <v>188</v>
      </c>
      <c r="AN3" s="47" t="s">
        <v>188</v>
      </c>
    </row>
    <row r="4" spans="1:43" ht="10.9" customHeight="1" thickBot="1">
      <c r="D4" s="893"/>
      <c r="E4" s="894"/>
      <c r="F4" s="895"/>
      <c r="AF4" s="47" t="s">
        <v>189</v>
      </c>
      <c r="AG4" s="47" t="s">
        <v>189</v>
      </c>
      <c r="AH4" s="47" t="s">
        <v>189</v>
      </c>
      <c r="AI4" s="47" t="s">
        <v>189</v>
      </c>
      <c r="AJ4" s="47" t="s">
        <v>189</v>
      </c>
      <c r="AK4" s="47" t="s">
        <v>189</v>
      </c>
      <c r="AL4" s="47" t="s">
        <v>189</v>
      </c>
      <c r="AM4" s="47" t="s">
        <v>189</v>
      </c>
      <c r="AN4" s="47" t="s">
        <v>189</v>
      </c>
    </row>
    <row r="5" spans="1:43" ht="15.6" customHeight="1"/>
    <row r="6" spans="1:43" ht="16.149999999999999" customHeight="1"/>
    <row r="7" spans="1:43"/>
    <row r="8" spans="1:43" ht="31.15" customHeight="1" thickBot="1">
      <c r="D8" s="48"/>
      <c r="E8" s="48"/>
      <c r="F8" s="48"/>
    </row>
    <row r="9" spans="1:43" ht="29.45" customHeight="1" thickBot="1">
      <c r="C9" s="49"/>
      <c r="D9" s="50"/>
      <c r="E9" s="899" t="s">
        <v>190</v>
      </c>
      <c r="F9" s="900"/>
      <c r="G9" s="900"/>
      <c r="H9" s="901"/>
      <c r="I9" s="899" t="s">
        <v>191</v>
      </c>
      <c r="J9" s="901"/>
      <c r="K9" s="899" t="s">
        <v>192</v>
      </c>
      <c r="L9" s="901"/>
      <c r="M9" s="899" t="s">
        <v>193</v>
      </c>
      <c r="N9" s="900"/>
      <c r="O9" s="901"/>
      <c r="P9" s="905" t="s">
        <v>194</v>
      </c>
      <c r="Q9" s="51" t="s">
        <v>195</v>
      </c>
      <c r="R9" s="52"/>
      <c r="S9" s="902" t="s">
        <v>196</v>
      </c>
      <c r="T9" s="904"/>
      <c r="U9" s="904"/>
      <c r="V9" s="904"/>
      <c r="W9" s="904"/>
      <c r="X9" s="903"/>
      <c r="Y9" s="905" t="s">
        <v>197</v>
      </c>
      <c r="Z9" s="902" t="s">
        <v>198</v>
      </c>
      <c r="AA9" s="903"/>
      <c r="AB9" s="49"/>
      <c r="AC9" s="49" t="s">
        <v>189</v>
      </c>
      <c r="AD9" s="49" t="s">
        <v>189</v>
      </c>
      <c r="AE9" s="49"/>
      <c r="AF9" s="53" t="s">
        <v>199</v>
      </c>
      <c r="AG9" s="53"/>
      <c r="AH9" s="53"/>
      <c r="AI9" s="53"/>
      <c r="AJ9" s="53"/>
      <c r="AK9" s="53" t="s">
        <v>200</v>
      </c>
      <c r="AL9" s="54"/>
      <c r="AM9" s="54"/>
      <c r="AN9" s="54"/>
      <c r="AQ9" s="47" t="s">
        <v>201</v>
      </c>
    </row>
    <row r="10" spans="1:43" ht="44.25" customHeight="1" thickBot="1">
      <c r="B10" s="55" t="s">
        <v>202</v>
      </c>
      <c r="C10" s="49"/>
      <c r="D10" s="58" t="s">
        <v>203</v>
      </c>
      <c r="E10" s="630" t="s">
        <v>204</v>
      </c>
      <c r="F10" s="631" t="s">
        <v>205</v>
      </c>
      <c r="G10" s="371" t="s">
        <v>206</v>
      </c>
      <c r="H10" s="57" t="s">
        <v>207</v>
      </c>
      <c r="I10" s="59" t="s">
        <v>191</v>
      </c>
      <c r="J10" s="57" t="s">
        <v>208</v>
      </c>
      <c r="K10" s="58" t="s">
        <v>192</v>
      </c>
      <c r="L10" s="57" t="s">
        <v>208</v>
      </c>
      <c r="M10" s="58" t="s">
        <v>193</v>
      </c>
      <c r="N10" s="371" t="s">
        <v>193</v>
      </c>
      <c r="O10" s="57" t="s">
        <v>209</v>
      </c>
      <c r="P10" s="906"/>
      <c r="Q10" s="56" t="s">
        <v>210</v>
      </c>
      <c r="R10" s="52"/>
      <c r="S10" s="60" t="s">
        <v>211</v>
      </c>
      <c r="T10" s="61" t="s">
        <v>212</v>
      </c>
      <c r="U10" s="62" t="s">
        <v>213</v>
      </c>
      <c r="V10" s="62" t="s">
        <v>214</v>
      </c>
      <c r="W10" s="62" t="s">
        <v>215</v>
      </c>
      <c r="X10" s="63" t="s">
        <v>216</v>
      </c>
      <c r="Y10" s="906"/>
      <c r="Z10" s="64" t="s">
        <v>217</v>
      </c>
      <c r="AA10" s="65" t="s">
        <v>218</v>
      </c>
      <c r="AB10" s="49"/>
      <c r="AC10" s="66" t="s">
        <v>219</v>
      </c>
      <c r="AD10" s="66" t="s">
        <v>220</v>
      </c>
      <c r="AE10" s="49"/>
      <c r="AF10" s="54" t="s">
        <v>221</v>
      </c>
      <c r="AG10" s="54" t="s">
        <v>222</v>
      </c>
      <c r="AH10" s="54" t="s">
        <v>223</v>
      </c>
      <c r="AI10" s="54" t="s">
        <v>224</v>
      </c>
      <c r="AJ10" s="54"/>
      <c r="AK10" s="54" t="s">
        <v>221</v>
      </c>
      <c r="AL10" s="54" t="s">
        <v>222</v>
      </c>
      <c r="AM10" s="54" t="s">
        <v>223</v>
      </c>
      <c r="AN10" s="54"/>
    </row>
    <row r="11" spans="1:43" ht="41.45">
      <c r="A11" s="47" t="str">
        <f>IFERROR(INDEX('G-1 All Habitats'!$AG$3:$AG$15,MATCH(E11,'G-1 All Habitats'!$AF$3:$AF$15,0)),"")</f>
        <v>Woodland_and_forest</v>
      </c>
      <c r="B11" s="47" t="str">
        <f>IFERROR(INDEX('G-8 Condition Look up'!$I$4:$I$130,MATCH(G11,'G-8 Condition Look up'!$A$4:$A$130,0)),"")</f>
        <v>Cond4</v>
      </c>
      <c r="D11" s="67">
        <v>1</v>
      </c>
      <c r="E11" s="68" t="s">
        <v>78</v>
      </c>
      <c r="F11" s="68" t="s">
        <v>225</v>
      </c>
      <c r="G11" s="69" t="str">
        <f>IFERROR(INDEX('G-1 All Habitats'!$B$3:$B$129,MATCH(F11,'G-1 All Habitats'!$A$3:$A$129,0)),"")</f>
        <v>Woodland and forest - Other woodland; broadleaved</v>
      </c>
      <c r="H11" s="70">
        <v>0.19</v>
      </c>
      <c r="I11" s="497" t="str">
        <f>IF(G11="","",VLOOKUP(G11,'G-1 All Habitats'!$B$2:$M$129,10,FALSE))</f>
        <v>Medium</v>
      </c>
      <c r="J11" s="498">
        <f>IFERROR(VLOOKUP(I11,'G-1 All Habitats'!$V$3:$W$7,2,FALSE),"")</f>
        <v>4</v>
      </c>
      <c r="K11" s="71" t="s">
        <v>226</v>
      </c>
      <c r="L11" s="498">
        <f>IFERROR(INDEX('G-8 Condition Look up'!$A$3:$H$130,MATCH(G11,'G-8 Condition Look up'!$A$3:$A$130,0),MATCH(K11,'G-8 Condition Look up'!$A$3:$H$3,0)),"")</f>
        <v>2.5</v>
      </c>
      <c r="M11" s="71" t="s">
        <v>227</v>
      </c>
      <c r="N11" s="503" t="str">
        <f>IF(M11="","",IF(VLOOKUP(M11,'G-3 Multipliers'!$L$3:$N$6,2,FALSE)=0,"Spatial Data Missing",VLOOKUP(M11,'G-3 Multipliers'!$L$3:$N$6,2,FALSE)))</f>
        <v xml:space="preserve">Medium strategic significance </v>
      </c>
      <c r="O11" s="504">
        <f>IF(M11="","",IF(VLOOKUP(M11,'G-3 Multipliers'!$L$3:$N$6,3,FALSE)=0,"Spatial Data Missing ▲",VLOOKUP(M11,'G-3 Multipliers'!$L$3:$N$6,3,FALSE)))</f>
        <v>1.1000000000000001</v>
      </c>
      <c r="P11" s="505" t="str">
        <f>IFERROR(VLOOKUP(G11,'G-1 All Habitats'!$B$2:$M$129,12,FALSE),"")</f>
        <v>Same broad habitat or a higher distinctiveness habitat required (≥)</v>
      </c>
      <c r="Q11" s="512">
        <f>IFERROR(IF(P11="","",IF(AND(P11='G-1 All Habitats'!$X$3,T11&gt;0),U11+V11,IF(AND(P11='G-1 All Habitats'!$X$3,S11&gt;0),U11+V11,IF(AND(P11='G-1 All Habitats'!$X$3,AC11&gt;0),"Any Loss Unacceptable ▲",IF(AND(P11='G-1 All Habitats'!$X$3,W11&gt;0),"Any Loss Unacceptable ▲",H11*J11*L11*O11))))),"Check Data ▲")</f>
        <v>2.09</v>
      </c>
      <c r="R11" s="50"/>
      <c r="S11" s="71">
        <v>0</v>
      </c>
      <c r="T11" s="72">
        <v>0.19</v>
      </c>
      <c r="U11" s="510">
        <f>IFERROR(S11*J11*L11*O11,"")</f>
        <v>0</v>
      </c>
      <c r="V11" s="510">
        <f>IFERROR(T11*J11*L11*O11,"")</f>
        <v>2.09</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v>
      </c>
      <c r="X11" s="514">
        <f>IFERROR(IF(H11="","",IF(H11-S11-T11=0&lt;0,"Error in Areas ▲",IF(S11+T11&gt;H11,"Error in Areas ▲",IF(AND(P11='G-1 All Habitats'!$X$3,Y11="Yes"),"Alternative Compensation ✓",IF(W11=0,0,IF(P11='G-1 All Habitats'!$X$3,"Unacceptable Loss ▲",Q11-U11-V11)))))),"Check Data ▲")</f>
        <v>0</v>
      </c>
      <c r="Y11" s="72"/>
      <c r="Z11" s="73" t="s">
        <v>228</v>
      </c>
      <c r="AA11" s="74"/>
      <c r="AC11" s="75" t="str">
        <f>IF(P11="","",IF(P11='G-1 All Habitats'!$X$3,H11-S11-T11,"None"))</f>
        <v>None</v>
      </c>
      <c r="AD11" s="76" t="str">
        <f>IFERROR(AC11*J11*L11*#REF!*O11,IF(P11="","","None"))</f>
        <v>None</v>
      </c>
      <c r="AF11" s="54" t="b">
        <f t="shared" ref="AF11:AF74" si="0">IF(G11="","",IF(S11&gt;0,TRUE,FALSE))</f>
        <v>0</v>
      </c>
      <c r="AG11" s="54" t="b">
        <f t="shared" ref="AG11:AG74" si="1">IF(H11="","",IF(T11&gt;0,TRUE,FALSE))</f>
        <v>1</v>
      </c>
      <c r="AH11" s="54" t="e">
        <f>IF(I11="","",IF(#REF!&gt;0,TRUE,FALSE))</f>
        <v>#REF!</v>
      </c>
      <c r="AI11" s="54">
        <v>1</v>
      </c>
      <c r="AJ11" s="54"/>
      <c r="AK11" s="54">
        <f t="array" ref="AK11">IFERROR(INDEX($AI$11:$AI$259, MATCH(0, IF(TRUE=$AF$11:$AF$259, COUNTIF($AK$10:$AK10, $AI$11:$AI$259), ""), 0)),"")</f>
        <v>4</v>
      </c>
      <c r="AL11" s="54">
        <f t="array" ref="AL11">IFERROR(INDEX($AI$11:$AI$259, MATCH(0, IF(TRUE=$AG$11:$AG$259, COUNTIF($AL$10:$AL10, $AI$11:$AI$259), ""), 0)),"")</f>
        <v>1</v>
      </c>
      <c r="AM11" s="54" t="str">
        <f t="array" ref="AM11">IFERROR(INDEX($AI$11:$AI$259, MATCH(0, IF(TRUE=$AH$11:$AH$259, COUNTIF($AM$10:$AM10, $AI$11:$AI$259), ""), 0)),"")</f>
        <v/>
      </c>
      <c r="AN11" s="54"/>
      <c r="AQ11" s="47">
        <f>IF(X11="Unacceptable Loss",1,0)</f>
        <v>0</v>
      </c>
    </row>
    <row r="12" spans="1:43" ht="41.45">
      <c r="A12" s="47" t="str">
        <f>IFERROR(INDEX('G-1 All Habitats'!$AG$3:$AG$15,MATCH(E12,'G-1 All Habitats'!$AF$3:$AF$15,0)),"")</f>
        <v>Woodland_and_forest</v>
      </c>
      <c r="B12" s="47" t="str">
        <f>IFERROR(INDEX('G-8 Condition Look up'!$I$4:$I$130,MATCH(G12,'G-8 Condition Look up'!$A$4:$A$130,0)),"")</f>
        <v>Cond4</v>
      </c>
      <c r="D12" s="77">
        <v>2</v>
      </c>
      <c r="E12" s="340" t="s">
        <v>78</v>
      </c>
      <c r="F12" s="79" t="s">
        <v>225</v>
      </c>
      <c r="G12" s="69" t="str">
        <f>IFERROR(INDEX('G-1 All Habitats'!$B$3:$B$129,MATCH(F12,'G-1 All Habitats'!$A$3:$A$129,0)),"")</f>
        <v>Woodland and forest - Other woodland; broadleaved</v>
      </c>
      <c r="H12" s="70">
        <v>1.03</v>
      </c>
      <c r="I12" s="497" t="str">
        <f>IF(G12="","",VLOOKUP(G12,'G-1 All Habitats'!$B$2:$M$129,10,FALSE))</f>
        <v>Medium</v>
      </c>
      <c r="J12" s="498">
        <f>IFERROR(VLOOKUP(I12,'G-1 All Habitats'!$V$3:$W$7,2,FALSE),"")</f>
        <v>4</v>
      </c>
      <c r="K12" s="71" t="s">
        <v>22</v>
      </c>
      <c r="L12" s="498">
        <f>IFERROR(INDEX('G-8 Condition Look up'!$A$3:$H$130,MATCH(G12,'G-8 Condition Look up'!$A$3:$A$130,0),MATCH(K12,'G-8 Condition Look up'!$A$3:$H$3,0)),"")</f>
        <v>2</v>
      </c>
      <c r="M12" s="71" t="s">
        <v>227</v>
      </c>
      <c r="N12" s="519" t="str">
        <f>IF(M12="","",IF(VLOOKUP(M12,'G-3 Multipliers'!$L$3:$N$6,2,FALSE)=0,"Spatial Data Missing",VLOOKUP(M12,'G-3 Multipliers'!$L$3:$N$6,2,FALSE)))</f>
        <v xml:space="preserve">Medium strategic significance </v>
      </c>
      <c r="O12" s="504">
        <f>IF(M12="","",IF(VLOOKUP(M12,'G-3 Multipliers'!$L$3:$N$6,3,FALSE)=0,"Spatial Data Missing ▲",VLOOKUP(M12,'G-3 Multipliers'!$L$3:$N$6,3,FALSE)))</f>
        <v>1.1000000000000001</v>
      </c>
      <c r="P12" s="505" t="str">
        <f>IFERROR(VLOOKUP(G12,'G-1 All Habitats'!$B$2:$M$129,12,FALSE),"")</f>
        <v>Same broad habitat or a higher distinctiveness habitat required (≥)</v>
      </c>
      <c r="Q12" s="512">
        <f>IFERROR(IF(P12="","",IF(AND(P12='G-1 All Habitats'!$X$3,T12&gt;0),U12+V12,IF(AND(P12='G-1 All Habitats'!$X$3,S12&gt;0),U12+V12,IF(AND(P12='G-1 All Habitats'!$X$3,AC12&gt;0),"Any Loss Unacceptable ▲",IF(AND(P12='G-1 All Habitats'!$X$3,W12&gt;0),"Any Loss Unacceptable ▲",H12*J12*L12*O12))))),"Check Data ▲")</f>
        <v>9.0640000000000018</v>
      </c>
      <c r="R12" s="50"/>
      <c r="S12" s="71">
        <v>0</v>
      </c>
      <c r="T12" s="72">
        <v>1.03</v>
      </c>
      <c r="U12" s="510">
        <f>IFERROR(S12*J12*L12*O12,"")</f>
        <v>0</v>
      </c>
      <c r="V12" s="510">
        <f>IFERROR(T12*J12*L12*O12,"")</f>
        <v>9.0640000000000018</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v>
      </c>
      <c r="X12" s="514">
        <f>IFERROR(IF(H12="","",IF(H12-S12-T12=0&lt;0,"Error in Areas ▲",IF(S12+T12&gt;H12,"Error in Areas ▲",IF(AND(P12='G-1 All Habitats'!$X$3,Y12="Yes"),"Alternative Compensation ✓",IF(W12=0,0,IF(P12='G-1 All Habitats'!$X$3,"Unacceptable Loss ▲",Q12-U12-V12)))))),"Check Data ▲")</f>
        <v>0</v>
      </c>
      <c r="Y12" s="72"/>
      <c r="Z12" s="80" t="s">
        <v>229</v>
      </c>
      <c r="AA12" s="81"/>
      <c r="AC12" s="75" t="str">
        <f>IF(P12="","",IF(P12='G-1 All Habitats'!$X$3,H12-S12-T12,"None"))</f>
        <v>None</v>
      </c>
      <c r="AD12" s="76" t="str">
        <f>IFERROR(AC12*J12*L12*#REF!*O12,IF(P12="","","None"))</f>
        <v>None</v>
      </c>
      <c r="AF12" s="54" t="b">
        <f t="shared" si="0"/>
        <v>0</v>
      </c>
      <c r="AG12" s="54" t="b">
        <f t="shared" si="1"/>
        <v>1</v>
      </c>
      <c r="AH12" s="54" t="e">
        <f>IF(I12="","",IF(#REF!&gt;0,TRUE,FALSE))</f>
        <v>#REF!</v>
      </c>
      <c r="AI12" s="54">
        <v>2</v>
      </c>
      <c r="AJ12" s="54"/>
      <c r="AK12" s="54">
        <f t="array" ref="AK12">IFERROR(INDEX($AI$11:$AI$259, MATCH(0, IF(TRUE=$AF$11:$AF$259, COUNTIF($AK$10:$AK11, $AI$11:$AI$259), ""), 0)),"")</f>
        <v>6</v>
      </c>
      <c r="AL12" s="54">
        <f t="array" ref="AL12">IFERROR(INDEX($AI$11:$AI$259, MATCH(0, IF(TRUE=$AG$11:$AG$259, COUNTIF($AL$10:$AL11, $AI$11:$AI$259), ""), 0)),"")</f>
        <v>2</v>
      </c>
      <c r="AM12" s="54" t="str">
        <f t="array" ref="AM12">IFERROR(INDEX($AI$11:$AI$259, MATCH(0, IF(TRUE=$AH$11:$AH$259, COUNTIF($AM$10:$AM11, $AI$11:$AI$259), ""), 0)),"")</f>
        <v/>
      </c>
      <c r="AN12" s="54"/>
      <c r="AQ12" s="47">
        <f t="shared" ref="AQ12:AQ75" si="2">IF(X12="Unacceptable Loss",1,0)</f>
        <v>0</v>
      </c>
    </row>
    <row r="13" spans="1:43" ht="41.45">
      <c r="A13" s="47" t="str">
        <f>IFERROR(INDEX('G-1 All Habitats'!$AG$3:$AG$15,MATCH(E13,'G-1 All Habitats'!$AF$3:$AF$15,0)),"")</f>
        <v>Heathland_and_shrub</v>
      </c>
      <c r="B13" s="47" t="str">
        <f>IFERROR(INDEX('G-8 Condition Look up'!$I$4:$I$130,MATCH(G13,'G-8 Condition Look up'!$A$4:$A$130,0)),"")</f>
        <v>Cond1</v>
      </c>
      <c r="D13" s="77">
        <v>3</v>
      </c>
      <c r="E13" s="340" t="s">
        <v>73</v>
      </c>
      <c r="F13" s="79" t="s">
        <v>230</v>
      </c>
      <c r="G13" s="69" t="str">
        <f>IFERROR(INDEX('G-1 All Habitats'!$B$3:$B$129,MATCH(F13,'G-1 All Habitats'!$A$3:$A$129,0)),"")</f>
        <v>Heathland and shrub - Bramble scrub</v>
      </c>
      <c r="H13" s="70">
        <v>0.2</v>
      </c>
      <c r="I13" s="497" t="str">
        <f>IF(G13="","",VLOOKUP(G13,'G-1 All Habitats'!$B$2:$M$129,10,FALSE))</f>
        <v>Medium</v>
      </c>
      <c r="J13" s="498">
        <f>IFERROR(VLOOKUP(I13,'G-1 All Habitats'!$V$3:$W$7,2,FALSE),"")</f>
        <v>4</v>
      </c>
      <c r="K13" s="71" t="s">
        <v>231</v>
      </c>
      <c r="L13" s="498">
        <f>IFERROR(INDEX('G-8 Condition Look up'!$A$3:$H$130,MATCH(G13,'G-8 Condition Look up'!$A$3:$A$130,0),MATCH(K13,'G-8 Condition Look up'!$A$3:$H$3,0)),"")</f>
        <v>1</v>
      </c>
      <c r="M13" s="71" t="s">
        <v>232</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broad habitat or a higher distinctiveness habitat required (≥)</v>
      </c>
      <c r="Q13" s="512">
        <f>IFERROR(IF(P13="","",IF(AND(P13='G-1 All Habitats'!$X$3,T13&gt;0),U13+V13,IF(AND(P13='G-1 All Habitats'!$X$3,S13&gt;0),U13+V13,IF(AND(P13='G-1 All Habitats'!$X$3,AC13&gt;0),"Any Loss Unacceptable ▲",IF(AND(P13='G-1 All Habitats'!$X$3,W13&gt;0),"Any Loss Unacceptable ▲",H13*J13*L13*O13))))),"Check Data ▲")</f>
        <v>0.8</v>
      </c>
      <c r="R13" s="50"/>
      <c r="S13" s="71">
        <v>0</v>
      </c>
      <c r="T13" s="72">
        <v>0</v>
      </c>
      <c r="U13" s="510">
        <f t="shared" ref="U13:U76" si="3">IFERROR(S13*J13*L13*O13,"")</f>
        <v>0</v>
      </c>
      <c r="V13" s="510">
        <f t="shared" ref="V13:V76" si="4">IFERROR(T13*J13*L13*O13,"")</f>
        <v>0</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0.2</v>
      </c>
      <c r="X13" s="514">
        <f>IFERROR(IF(H13="","",IF(H13-S13-T13=0&lt;0,"Error in Areas ▲",IF(S13+T13&gt;H13,"Error in Areas ▲",IF(AND(P13='G-1 All Habitats'!$X$3,Y13="Yes"),"Alternative Compensation ✓",IF(W13=0,0,IF(P13='G-1 All Habitats'!$X$3,"Unacceptable Loss ▲",Q13-U13-V13)))))),"Check Data ▲")</f>
        <v>0.8</v>
      </c>
      <c r="Y13" s="72"/>
      <c r="Z13" s="80" t="s">
        <v>233</v>
      </c>
      <c r="AA13" s="81"/>
      <c r="AC13" s="75" t="str">
        <f>IF(P13="","",IF(P13='G-1 All Habitats'!$X$3,H13-S13-T13,"None"))</f>
        <v>None</v>
      </c>
      <c r="AD13" s="76" t="str">
        <f>IFERROR(AC13*J13*L13*#REF!*O13,IF(P13="","","None"))</f>
        <v>None</v>
      </c>
      <c r="AF13" s="54" t="b">
        <f t="shared" si="0"/>
        <v>0</v>
      </c>
      <c r="AG13" s="54" t="b">
        <f t="shared" si="1"/>
        <v>0</v>
      </c>
      <c r="AH13" s="54" t="e">
        <f>IF(I13="","",IF(#REF!&gt;0,TRUE,FALSE))</f>
        <v>#REF!</v>
      </c>
      <c r="AI13" s="54">
        <v>3</v>
      </c>
      <c r="AJ13" s="54"/>
      <c r="AK13" s="54">
        <f t="array" ref="AK13">IFERROR(INDEX($AI$11:$AI$259, MATCH(0, IF(TRUE=$AF$11:$AF$259, COUNTIF($AK$10:$AK12, $AI$11:$AI$259), ""), 0)),"")</f>
        <v>8</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41.45">
      <c r="A14" s="47" t="str">
        <f>IFERROR(INDEX('G-1 All Habitats'!$AG$3:$AG$15,MATCH(E14,'G-1 All Habitats'!$AF$3:$AF$15,0)),"")</f>
        <v>Cropland</v>
      </c>
      <c r="B14" s="47" t="str">
        <f>IFERROR(INDEX('G-8 Condition Look up'!$I$4:$I$130,MATCH(G14,'G-8 Condition Look up'!$A$4:$A$130,0)),"")</f>
        <v>Cond1</v>
      </c>
      <c r="D14" s="77">
        <v>4</v>
      </c>
      <c r="E14" s="79" t="s">
        <v>71</v>
      </c>
      <c r="F14" s="79" t="s">
        <v>234</v>
      </c>
      <c r="G14" s="69" t="str">
        <f>IFERROR(INDEX('G-1 All Habitats'!$B$3:$B$129,MATCH(F14,'G-1 All Habitats'!$A$3:$A$129,0)),"")</f>
        <v>Cropland - Arable field margins tussocky</v>
      </c>
      <c r="H14" s="70">
        <v>2.4700000000000002</v>
      </c>
      <c r="I14" s="497" t="str">
        <f>IF(G14="","",VLOOKUP(G14,'G-1 All Habitats'!$B$2:$M$129,10,FALSE))</f>
        <v>Medium</v>
      </c>
      <c r="J14" s="498">
        <f>IFERROR(VLOOKUP(I14,'G-1 All Habitats'!$V$3:$W$7,2,FALSE),"")</f>
        <v>4</v>
      </c>
      <c r="K14" s="71" t="s">
        <v>231</v>
      </c>
      <c r="L14" s="498">
        <f>IFERROR(INDEX('G-8 Condition Look up'!$A$3:$H$130,MATCH(G14,'G-8 Condition Look up'!$A$3:$A$130,0),MATCH(K14,'G-8 Condition Look up'!$A$3:$H$3,0)),"")</f>
        <v>1</v>
      </c>
      <c r="M14" s="71" t="s">
        <v>227</v>
      </c>
      <c r="N14" s="519" t="str">
        <f>IF(M14="","",IF(VLOOKUP(M14,'G-3 Multipliers'!$L$3:$N$6,2,FALSE)=0,"Spatial Data Missing",VLOOKUP(M14,'G-3 Multipliers'!$L$3:$N$6,2,FALSE)))</f>
        <v xml:space="preserve">Medium strategic significance </v>
      </c>
      <c r="O14" s="504">
        <f>IF(M14="","",IF(VLOOKUP(M14,'G-3 Multipliers'!$L$3:$N$6,3,FALSE)=0,"Spatial Data Missing ▲",VLOOKUP(M14,'G-3 Multipliers'!$L$3:$N$6,3,FALSE)))</f>
        <v>1.1000000000000001</v>
      </c>
      <c r="P14" s="505" t="str">
        <f>IFERROR(VLOOKUP(G14,'G-1 All Habitats'!$B$2:$M$129,12,FALSE),"")</f>
        <v>Same broad habitat or a higher distinctiveness habitat required (≥)</v>
      </c>
      <c r="Q14" s="512">
        <f>IFERROR(IF(P14="","",IF(AND(P14='G-1 All Habitats'!$X$3,T14&gt;0),U14+V14,IF(AND(P14='G-1 All Habitats'!$X$3,S14&gt;0),U14+V14,IF(AND(P14='G-1 All Habitats'!$X$3,AC14&gt;0),"Any Loss Unacceptable ▲",IF(AND(P14='G-1 All Habitats'!$X$3,W14&gt;0),"Any Loss Unacceptable ▲",H14*J14*L14*O14))))),"Check Data ▲")</f>
        <v>10.868000000000002</v>
      </c>
      <c r="R14" s="50"/>
      <c r="S14" s="71">
        <v>0.16600000000000001</v>
      </c>
      <c r="T14" s="72">
        <v>0</v>
      </c>
      <c r="U14" s="510">
        <f t="shared" si="3"/>
        <v>0.73040000000000005</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2.3040000000000003</v>
      </c>
      <c r="X14" s="514">
        <f>IFERROR(IF(H14="","",IF(H14-S14-T14=0&lt;0,"Error in Areas ▲",IF(S14+T14&gt;H14,"Error in Areas ▲",IF(AND(P14='G-1 All Habitats'!$X$3,Y14="Yes"),"Alternative Compensation ✓",IF(W14=0,0,IF(P14='G-1 All Habitats'!$X$3,"Unacceptable Loss ▲",Q14-U14-V14)))))),"Check Data ▲")</f>
        <v>10.137600000000003</v>
      </c>
      <c r="Y14" s="72"/>
      <c r="Z14" s="80" t="s">
        <v>235</v>
      </c>
      <c r="AA14" s="81"/>
      <c r="AC14" s="75" t="str">
        <f>IF(P14="","",IF(P14='G-1 All Habitats'!$X$3,H14-S14-T14,"None"))</f>
        <v>None</v>
      </c>
      <c r="AD14" s="76" t="str">
        <f>IFERROR(AC14*J14*L14*#REF!*O14,IF(P14="","","None"))</f>
        <v>None</v>
      </c>
      <c r="AF14" s="54" t="b">
        <f t="shared" si="0"/>
        <v>1</v>
      </c>
      <c r="AG14" s="54" t="b">
        <f t="shared" si="1"/>
        <v>0</v>
      </c>
      <c r="AH14" s="54" t="e">
        <f>IF(I14="","",IF(#REF!&gt;0,TRUE,FALSE))</f>
        <v>#REF!</v>
      </c>
      <c r="AI14" s="54">
        <v>4</v>
      </c>
      <c r="AJ14" s="54"/>
      <c r="AK14" s="54">
        <f t="array" ref="AK14">IFERROR(INDEX($AI$11:$AI$259, MATCH(0, IF(TRUE=$AF$11:$AF$259, COUNTIF($AK$10:$AK13, $AI$11:$AI$259), ""), 0)),"")</f>
        <v>9</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27.6">
      <c r="A15" s="47" t="str">
        <f>IFERROR(INDEX('G-1 All Habitats'!$AG$3:$AG$15,MATCH(E15,'G-1 All Habitats'!$AF$3:$AF$15,0)),"")</f>
        <v>Grassland</v>
      </c>
      <c r="B15" s="47" t="str">
        <f>IFERROR(INDEX('G-8 Condition Look up'!$I$4:$I$130,MATCH(G15,'G-8 Condition Look up'!$A$4:$A$130,0)),"")</f>
        <v>Cond4</v>
      </c>
      <c r="D15" s="77">
        <v>5</v>
      </c>
      <c r="E15" s="340" t="s">
        <v>72</v>
      </c>
      <c r="F15" s="79" t="s">
        <v>236</v>
      </c>
      <c r="G15" s="69" t="str">
        <f>IFERROR(INDEX('G-1 All Habitats'!$B$3:$B$129,MATCH(F15,'G-1 All Habitats'!$A$3:$A$129,0)),"")</f>
        <v>Grassland - Modified grassland</v>
      </c>
      <c r="H15" s="70">
        <v>2.83</v>
      </c>
      <c r="I15" s="497" t="str">
        <f>IF(G15="","",VLOOKUP(G15,'G-1 All Habitats'!$B$2:$M$129,10,FALSE))</f>
        <v>Low</v>
      </c>
      <c r="J15" s="498">
        <f>IFERROR(VLOOKUP(I15,'G-1 All Habitats'!$V$3:$W$7,2,FALSE),"")</f>
        <v>2</v>
      </c>
      <c r="K15" s="71" t="s">
        <v>237</v>
      </c>
      <c r="L15" s="498">
        <f>IFERROR(INDEX('G-8 Condition Look up'!$A$3:$H$130,MATCH(G15,'G-8 Condition Look up'!$A$3:$A$130,0),MATCH(K15,'G-8 Condition Look up'!$A$3:$H$3,0)),"")</f>
        <v>1</v>
      </c>
      <c r="M15" s="71" t="s">
        <v>232</v>
      </c>
      <c r="N15" s="519" t="str">
        <f>IF(M15="","",IF(VLOOKUP(M15,'G-3 Multipliers'!$L$3:$N$6,2,FALSE)=0,"Spatial Data Missing",VLOOKUP(M15,'G-3 Multipliers'!$L$3:$N$6,2,FALSE)))</f>
        <v>Low Strategic Significance</v>
      </c>
      <c r="O15" s="504">
        <f>IF(M15="","",IF(VLOOKUP(M15,'G-3 Multipliers'!$L$3:$N$6,3,FALSE)=0,"Spatial Data Missing ▲",VLOOKUP(M15,'G-3 Multipliers'!$L$3:$N$6,3,FALSE)))</f>
        <v>1</v>
      </c>
      <c r="P15" s="505" t="str">
        <f>IFERROR(VLOOKUP(G15,'G-1 All Habitats'!$B$2:$M$129,12,FALSE),"")</f>
        <v>Same distinctiveness or better habitat required ≥</v>
      </c>
      <c r="Q15" s="512">
        <f>IFERROR(IF(P15="","",IF(AND(P15='G-1 All Habitats'!$X$3,T15&gt;0),U15+V15,IF(AND(P15='G-1 All Habitats'!$X$3,S15&gt;0),U15+V15,IF(AND(P15='G-1 All Habitats'!$X$3,AC15&gt;0),"Any Loss Unacceptable ▲",IF(AND(P15='G-1 All Habitats'!$X$3,W15&gt;0),"Any Loss Unacceptable ▲",H15*J15*L15*O15))))),"Check Data ▲")</f>
        <v>5.66</v>
      </c>
      <c r="R15" s="50"/>
      <c r="S15" s="71">
        <v>0</v>
      </c>
      <c r="T15" s="72">
        <v>0</v>
      </c>
      <c r="U15" s="510">
        <f t="shared" si="3"/>
        <v>0</v>
      </c>
      <c r="V15" s="510">
        <f t="shared" si="4"/>
        <v>0</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2.83</v>
      </c>
      <c r="X15" s="514">
        <f>IFERROR(IF(H15="","",IF(H15-S15-T15=0&lt;0,"Error in Areas ▲",IF(S15+T15&gt;H15,"Error in Areas ▲",IF(AND(P15='G-1 All Habitats'!$X$3,Y15="Yes"),"Alternative Compensation ✓",IF(W15=0,0,IF(P15='G-1 All Habitats'!$X$3,"Unacceptable Loss ▲",Q15-U15-V15)))))),"Check Data ▲")</f>
        <v>5.66</v>
      </c>
      <c r="Y15" s="72"/>
      <c r="Z15" s="80" t="s">
        <v>238</v>
      </c>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f t="array" ref="AK15">IFERROR(INDEX($AI$11:$AI$259, MATCH(0, IF(TRUE=$AF$11:$AF$259, COUNTIF($AK$10:$AK14, $AI$11:$AI$259), ""), 0)),"")</f>
        <v>11</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27.6">
      <c r="A16" s="47" t="str">
        <f>IFERROR(INDEX('G-1 All Habitats'!$AG$3:$AG$15,MATCH(E16,'G-1 All Habitats'!$AF$3:$AF$15,0)),"")</f>
        <v>Grassland</v>
      </c>
      <c r="B16" s="47" t="str">
        <f>IFERROR(INDEX('G-8 Condition Look up'!$I$4:$I$130,MATCH(G16,'G-8 Condition Look up'!$A$4:$A$130,0)),"")</f>
        <v>Cond1</v>
      </c>
      <c r="D16" s="77">
        <v>6</v>
      </c>
      <c r="E16" s="79" t="s">
        <v>72</v>
      </c>
      <c r="F16" s="79" t="s">
        <v>239</v>
      </c>
      <c r="G16" s="69" t="str">
        <f>IFERROR(INDEX('G-1 All Habitats'!$B$3:$B$129,MATCH(F16,'G-1 All Habitats'!$A$3:$A$129,0)),"")</f>
        <v>Grassland - Bracken</v>
      </c>
      <c r="H16" s="70">
        <v>0.05</v>
      </c>
      <c r="I16" s="497" t="str">
        <f>IF(G16="","",VLOOKUP(G16,'G-1 All Habitats'!$B$2:$M$129,10,FALSE))</f>
        <v>Low</v>
      </c>
      <c r="J16" s="498">
        <f>IFERROR(VLOOKUP(I16,'G-1 All Habitats'!$V$3:$W$7,2,FALSE),"")</f>
        <v>2</v>
      </c>
      <c r="K16" s="71" t="s">
        <v>231</v>
      </c>
      <c r="L16" s="498">
        <f>IFERROR(INDEX('G-8 Condition Look up'!$A$3:$H$130,MATCH(G16,'G-8 Condition Look up'!$A$3:$A$130,0),MATCH(K16,'G-8 Condition Look up'!$A$3:$H$3,0)),"")</f>
        <v>1</v>
      </c>
      <c r="M16" s="71" t="s">
        <v>232</v>
      </c>
      <c r="N16" s="519" t="str">
        <f>IF(M16="","",IF(VLOOKUP(M16,'G-3 Multipliers'!$L$3:$N$6,2,FALSE)=0,"Spatial Data Missing",VLOOKUP(M16,'G-3 Multipliers'!$L$3:$N$6,2,FALSE)))</f>
        <v>Low Strategic Significance</v>
      </c>
      <c r="O16" s="504">
        <f>IF(M16="","",IF(VLOOKUP(M16,'G-3 Multipliers'!$L$3:$N$6,3,FALSE)=0,"Spatial Data Missing ▲",VLOOKUP(M16,'G-3 Multipliers'!$L$3:$N$6,3,FALSE)))</f>
        <v>1</v>
      </c>
      <c r="P16" s="505" t="str">
        <f>IFERROR(VLOOKUP(G16,'G-1 All Habitats'!$B$2:$M$129,12,FALSE),"")</f>
        <v>Same distinctiveness or better habitat required ≥</v>
      </c>
      <c r="Q16" s="512">
        <f>IFERROR(IF(P16="","",IF(AND(P16='G-1 All Habitats'!$X$3,T16&gt;0),U16+V16,IF(AND(P16='G-1 All Habitats'!$X$3,S16&gt;0),U16+V16,IF(AND(P16='G-1 All Habitats'!$X$3,AC16&gt;0),"Any Loss Unacceptable ▲",IF(AND(P16='G-1 All Habitats'!$X$3,W16&gt;0),"Any Loss Unacceptable ▲",H16*J16*L16*O16))))),"Check Data ▲")</f>
        <v>0.1</v>
      </c>
      <c r="R16" s="50"/>
      <c r="S16" s="71">
        <v>2.1000000000000001E-2</v>
      </c>
      <c r="T16" s="72">
        <v>0</v>
      </c>
      <c r="U16" s="510">
        <f t="shared" si="3"/>
        <v>4.2000000000000003E-2</v>
      </c>
      <c r="V16" s="510">
        <f t="shared" si="4"/>
        <v>0</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2.9000000000000001E-2</v>
      </c>
      <c r="X16" s="514">
        <f>IFERROR(IF(H16="","",IF(H16-S16-T16=0&lt;0,"Error in Areas ▲",IF(S16+T16&gt;H16,"Error in Areas ▲",IF(AND(P16='G-1 All Habitats'!$X$3,Y16="Yes"),"Alternative Compensation ✓",IF(W16=0,0,IF(P16='G-1 All Habitats'!$X$3,"Unacceptable Loss ▲",Q16-U16-V16)))))),"Check Data ▲")</f>
        <v>5.8000000000000003E-2</v>
      </c>
      <c r="Y16" s="72"/>
      <c r="Z16" s="80" t="s">
        <v>240</v>
      </c>
      <c r="AA16" s="81"/>
      <c r="AC16" s="75" t="str">
        <f>IF(P16="","",IF(P16='G-1 All Habitats'!$X$3,H16-S16-T16,"None"))</f>
        <v>None</v>
      </c>
      <c r="AD16" s="76" t="str">
        <f>IFERROR(AC16*J16*L16*#REF!*O16,IF(P16="","","None"))</f>
        <v>None</v>
      </c>
      <c r="AF16" s="54" t="b">
        <f t="shared" si="0"/>
        <v>1</v>
      </c>
      <c r="AG16" s="54" t="b">
        <f t="shared" si="1"/>
        <v>0</v>
      </c>
      <c r="AH16" s="54" t="e">
        <f>IF(I16="","",IF(#REF!&gt;0,TRUE,FALSE))</f>
        <v>#REF!</v>
      </c>
      <c r="AI16" s="54">
        <v>6</v>
      </c>
      <c r="AJ16" s="54"/>
      <c r="AK16" s="54">
        <f t="array" ref="AK16">IFERROR(INDEX($AI$11:$AI$259, MATCH(0, IF(TRUE=$AF$11:$AF$259, COUNTIF($AK$10:$AK15, $AI$11:$AI$259), ""), 0)),"")</f>
        <v>12</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27.6">
      <c r="A17" s="47" t="str">
        <f>IFERROR(INDEX('G-1 All Habitats'!$AG$3:$AG$15,MATCH(E17,'G-1 All Habitats'!$AF$3:$AF$15,0)),"")</f>
        <v>Sparsely_vegetated_land</v>
      </c>
      <c r="B17" s="47" t="str">
        <f>IFERROR(INDEX('G-8 Condition Look up'!$I$4:$I$130,MATCH(G17,'G-8 Condition Look up'!$A$4:$A$130,0)),"")</f>
        <v>Cond4</v>
      </c>
      <c r="D17" s="77">
        <v>7</v>
      </c>
      <c r="E17" s="341" t="s">
        <v>75</v>
      </c>
      <c r="F17" s="79" t="s">
        <v>241</v>
      </c>
      <c r="G17" s="69" t="str">
        <f>IFERROR(INDEX('G-1 All Habitats'!$B$3:$B$129,MATCH(F17,'G-1 All Habitats'!$A$3:$A$129,0)),"")</f>
        <v>Sparsely vegetated land - Ruderal/Ephemeral</v>
      </c>
      <c r="H17" s="70">
        <v>0.46</v>
      </c>
      <c r="I17" s="497" t="str">
        <f>IF(G17="","",VLOOKUP(G17,'G-1 All Habitats'!$B$2:$M$129,10,FALSE))</f>
        <v>Low</v>
      </c>
      <c r="J17" s="498">
        <f>IFERROR(VLOOKUP(I17,'G-1 All Habitats'!$V$3:$W$7,2,FALSE),"")</f>
        <v>2</v>
      </c>
      <c r="K17" s="71" t="s">
        <v>237</v>
      </c>
      <c r="L17" s="498">
        <f>IFERROR(INDEX('G-8 Condition Look up'!$A$3:$H$130,MATCH(G17,'G-8 Condition Look up'!$A$3:$A$130,0),MATCH(K17,'G-8 Condition Look up'!$A$3:$H$3,0)),"")</f>
        <v>1</v>
      </c>
      <c r="M17" s="71" t="s">
        <v>232</v>
      </c>
      <c r="N17" s="519" t="str">
        <f>IF(M17="","",IF(VLOOKUP(M17,'G-3 Multipliers'!$L$3:$N$6,2,FALSE)=0,"Spatial Data Missing",VLOOKUP(M17,'G-3 Multipliers'!$L$3:$N$6,2,FALSE)))</f>
        <v>Low Strategic Significance</v>
      </c>
      <c r="O17" s="504">
        <f>IF(M17="","",IF(VLOOKUP(M17,'G-3 Multipliers'!$L$3:$N$6,3,FALSE)=0,"Spatial Data Missing ▲",VLOOKUP(M17,'G-3 Multipliers'!$L$3:$N$6,3,FALSE)))</f>
        <v>1</v>
      </c>
      <c r="P17" s="505" t="str">
        <f>IFERROR(VLOOKUP(G17,'G-1 All Habitats'!$B$2:$M$129,12,FALSE),"")</f>
        <v>Same distinctiveness or better habitat required ≥</v>
      </c>
      <c r="Q17" s="512">
        <f>IFERROR(IF(P17="","",IF(AND(P17='G-1 All Habitats'!$X$3,T17&gt;0),U17+V17,IF(AND(P17='G-1 All Habitats'!$X$3,S17&gt;0),U17+V17,IF(AND(P17='G-1 All Habitats'!$X$3,AC17&gt;0),"Any Loss Unacceptable ▲",IF(AND(P17='G-1 All Habitats'!$X$3,W17&gt;0),"Any Loss Unacceptable ▲",H17*J17*L17*O17))))),"Check Data ▲")</f>
        <v>0.92</v>
      </c>
      <c r="R17" s="50"/>
      <c r="S17" s="71">
        <v>0</v>
      </c>
      <c r="T17" s="72">
        <v>0</v>
      </c>
      <c r="U17" s="510">
        <f t="shared" si="3"/>
        <v>0</v>
      </c>
      <c r="V17" s="510">
        <f t="shared" si="4"/>
        <v>0</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0.46</v>
      </c>
      <c r="X17" s="514">
        <f>IFERROR(IF(H17="","",IF(H17-S17-T17=0&lt;0,"Error in Areas ▲",IF(S17+T17&gt;H17,"Error in Areas ▲",IF(AND(P17='G-1 All Habitats'!$X$3,Y17="Yes"),"Alternative Compensation ✓",IF(W17=0,0,IF(P17='G-1 All Habitats'!$X$3,"Unacceptable Loss ▲",Q17-U17-V17)))))),"Check Data ▲")</f>
        <v>0.92</v>
      </c>
      <c r="Y17" s="72"/>
      <c r="Z17" s="80" t="s">
        <v>242</v>
      </c>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27.6">
      <c r="A18" s="47" t="str">
        <f>IFERROR(INDEX('G-1 All Habitats'!$AG$3:$AG$15,MATCH(E18,'G-1 All Habitats'!$AF$3:$AF$15,0)),"")</f>
        <v>Cropland</v>
      </c>
      <c r="B18" s="47" t="str">
        <f>IFERROR(INDEX('G-8 Condition Look up'!$I$4:$I$130,MATCH(G18,'G-8 Condition Look up'!$A$4:$A$130,0)),"")</f>
        <v>Cond1</v>
      </c>
      <c r="D18" s="77">
        <v>8</v>
      </c>
      <c r="E18" s="79" t="s">
        <v>71</v>
      </c>
      <c r="F18" s="79" t="s">
        <v>243</v>
      </c>
      <c r="G18" s="69" t="str">
        <f>IFERROR(INDEX('G-1 All Habitats'!$B$3:$B$129,MATCH(F18,'G-1 All Habitats'!$A$3:$A$129,0)),"")</f>
        <v>Cropland - Cereal crops winter stubble</v>
      </c>
      <c r="H18" s="70">
        <v>38</v>
      </c>
      <c r="I18" s="497" t="str">
        <f>IF(G18="","",VLOOKUP(G18,'G-1 All Habitats'!$B$2:$M$129,10,FALSE))</f>
        <v>Low</v>
      </c>
      <c r="J18" s="498">
        <f>IFERROR(VLOOKUP(I18,'G-1 All Habitats'!$V$3:$W$7,2,FALSE),"")</f>
        <v>2</v>
      </c>
      <c r="K18" s="71" t="s">
        <v>231</v>
      </c>
      <c r="L18" s="498">
        <f>IFERROR(INDEX('G-8 Condition Look up'!$A$3:$H$130,MATCH(G18,'G-8 Condition Look up'!$A$3:$A$130,0),MATCH(K18,'G-8 Condition Look up'!$A$3:$H$3,0)),"")</f>
        <v>1</v>
      </c>
      <c r="M18" s="71" t="s">
        <v>232</v>
      </c>
      <c r="N18" s="519" t="str">
        <f>IF(M18="","",IF(VLOOKUP(M18,'G-3 Multipliers'!$L$3:$N$6,2,FALSE)=0,"Spatial Data Missing",VLOOKUP(M18,'G-3 Multipliers'!$L$3:$N$6,2,FALSE)))</f>
        <v>Low Strategic Significance</v>
      </c>
      <c r="O18" s="504">
        <f>IF(M18="","",IF(VLOOKUP(M18,'G-3 Multipliers'!$L$3:$N$6,3,FALSE)=0,"Spatial Data Missing ▲",VLOOKUP(M18,'G-3 Multipliers'!$L$3:$N$6,3,FALSE)))</f>
        <v>1</v>
      </c>
      <c r="P18" s="505" t="str">
        <f>IFERROR(VLOOKUP(G18,'G-1 All Habitats'!$B$2:$M$129,12,FALSE),"")</f>
        <v>Same distinctiveness or better habitat required ≥</v>
      </c>
      <c r="Q18" s="512">
        <f>IFERROR(IF(P18="","",IF(AND(P18='G-1 All Habitats'!$X$3,T18&gt;0),U18+V18,IF(AND(P18='G-1 All Habitats'!$X$3,S18&gt;0),U18+V18,IF(AND(P18='G-1 All Habitats'!$X$3,AC18&gt;0),"Any Loss Unacceptable ▲",IF(AND(P18='G-1 All Habitats'!$X$3,W18&gt;0),"Any Loss Unacceptable ▲",H18*J18*L18*O18))))),"Check Data ▲")</f>
        <v>76</v>
      </c>
      <c r="R18" s="50"/>
      <c r="S18" s="71">
        <v>7.57</v>
      </c>
      <c r="T18" s="72">
        <v>0</v>
      </c>
      <c r="U18" s="510">
        <f t="shared" si="3"/>
        <v>15.14</v>
      </c>
      <c r="V18" s="510">
        <f t="shared" si="4"/>
        <v>0</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30.43</v>
      </c>
      <c r="X18" s="514">
        <f>IFERROR(IF(H18="","",IF(H18-S18-T18=0&lt;0,"Error in Areas ▲",IF(S18+T18&gt;H18,"Error in Areas ▲",IF(AND(P18='G-1 All Habitats'!$X$3,Y18="Yes"),"Alternative Compensation ✓",IF(W18=0,0,IF(P18='G-1 All Habitats'!$X$3,"Unacceptable Loss ▲",Q18-U18-V18)))))),"Check Data ▲")</f>
        <v>60.86</v>
      </c>
      <c r="Y18" s="72"/>
      <c r="Z18" s="80" t="s">
        <v>244</v>
      </c>
      <c r="AA18" s="81"/>
      <c r="AC18" s="75" t="str">
        <f>IF(P18="","",IF(P18='G-1 All Habitats'!$X$3,H18-S18-T18,"None"))</f>
        <v>None</v>
      </c>
      <c r="AD18" s="76" t="str">
        <f>IFERROR(AC18*J18*L18*#REF!*O18,IF(P18="","","None"))</f>
        <v>None</v>
      </c>
      <c r="AF18" s="54" t="b">
        <f t="shared" si="0"/>
        <v>1</v>
      </c>
      <c r="AG18" s="54" t="b">
        <f t="shared" si="1"/>
        <v>0</v>
      </c>
      <c r="AH18" s="54" t="e">
        <f>IF(I18="","",IF(#REF!&gt;0,TRUE,FALSE))</f>
        <v>#REF!</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27.6">
      <c r="A19" s="47" t="str">
        <f>IFERROR(INDEX('G-1 All Habitats'!$AG$3:$AG$15,MATCH(E19,'G-1 All Habitats'!$AF$3:$AF$15,0)),"")</f>
        <v>Urban</v>
      </c>
      <c r="B19" s="47" t="str">
        <f>IFERROR(INDEX('G-8 Condition Look up'!$I$4:$I$130,MATCH(G19,'G-8 Condition Look up'!$A$4:$A$130,0)),"")</f>
        <v>Cond4</v>
      </c>
      <c r="D19" s="77">
        <v>9</v>
      </c>
      <c r="E19" s="82" t="s">
        <v>76</v>
      </c>
      <c r="F19" s="79" t="s">
        <v>245</v>
      </c>
      <c r="G19" s="69" t="str">
        <f>IFERROR(INDEX('G-1 All Habitats'!$B$3:$B$129,MATCH(F19,'G-1 All Habitats'!$A$3:$A$129,0)),"")</f>
        <v>Urban - Vacant/derelict land/ bareground</v>
      </c>
      <c r="H19" s="70">
        <v>0.76</v>
      </c>
      <c r="I19" s="497" t="str">
        <f>IF(G19="","",VLOOKUP(G19,'G-1 All Habitats'!$B$2:$M$129,10,FALSE))</f>
        <v>Low</v>
      </c>
      <c r="J19" s="498">
        <f>IFERROR(VLOOKUP(I19,'G-1 All Habitats'!$V$3:$W$7,2,FALSE),"")</f>
        <v>2</v>
      </c>
      <c r="K19" s="71" t="s">
        <v>237</v>
      </c>
      <c r="L19" s="498">
        <f>IFERROR(INDEX('G-8 Condition Look up'!$A$3:$H$130,MATCH(G19,'G-8 Condition Look up'!$A$3:$A$130,0),MATCH(K19,'G-8 Condition Look up'!$A$3:$H$3,0)),"")</f>
        <v>1</v>
      </c>
      <c r="M19" s="71" t="s">
        <v>232</v>
      </c>
      <c r="N19" s="519" t="str">
        <f>IF(M19="","",IF(VLOOKUP(M19,'G-3 Multipliers'!$L$3:$N$6,2,FALSE)=0,"Spatial Data Missing",VLOOKUP(M19,'G-3 Multipliers'!$L$3:$N$6,2,FALSE)))</f>
        <v>Low Strategic Significance</v>
      </c>
      <c r="O19" s="504">
        <f>IF(M19="","",IF(VLOOKUP(M19,'G-3 Multipliers'!$L$3:$N$6,3,FALSE)=0,"Spatial Data Missing ▲",VLOOKUP(M19,'G-3 Multipliers'!$L$3:$N$6,3,FALSE)))</f>
        <v>1</v>
      </c>
      <c r="P19" s="505" t="str">
        <f>IFERROR(VLOOKUP(G19,'G-1 All Habitats'!$B$2:$M$129,12,FALSE),"")</f>
        <v>Same distinctiveness or better habitat required ≥</v>
      </c>
      <c r="Q19" s="512">
        <f>IFERROR(IF(P19="","",IF(AND(P19='G-1 All Habitats'!$X$3,T19&gt;0),U19+V19,IF(AND(P19='G-1 All Habitats'!$X$3,S19&gt;0),U19+V19,IF(AND(P19='G-1 All Habitats'!$X$3,AC19&gt;0),"Any Loss Unacceptable ▲",IF(AND(P19='G-1 All Habitats'!$X$3,W19&gt;0),"Any Loss Unacceptable ▲",H19*J19*L19*O19))))),"Check Data ▲")</f>
        <v>1.52</v>
      </c>
      <c r="R19" s="50"/>
      <c r="S19" s="71">
        <v>0.44</v>
      </c>
      <c r="T19" s="72">
        <v>0</v>
      </c>
      <c r="U19" s="510">
        <f t="shared" si="3"/>
        <v>0.88</v>
      </c>
      <c r="V19" s="510">
        <f t="shared" si="4"/>
        <v>0</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0.32</v>
      </c>
      <c r="X19" s="514">
        <f>IFERROR(IF(H19="","",IF(H19-S19-T19=0&lt;0,"Error in Areas ▲",IF(S19+T19&gt;H19,"Error in Areas ▲",IF(AND(P19='G-1 All Habitats'!$X$3,Y19="Yes"),"Alternative Compensation ✓",IF(W19=0,0,IF(P19='G-1 All Habitats'!$X$3,"Unacceptable Loss ▲",Q19-U19-V19)))))),"Check Data ▲")</f>
        <v>0.64</v>
      </c>
      <c r="Y19" s="72"/>
      <c r="Z19" s="80" t="s">
        <v>246</v>
      </c>
      <c r="AA19" s="81"/>
      <c r="AC19" s="75" t="str">
        <f>IF(P19="","",IF(P19='G-1 All Habitats'!$X$3,H19-S19-T19,"None"))</f>
        <v>None</v>
      </c>
      <c r="AD19" s="76" t="str">
        <f>IFERROR(AC19*J19*L19*#REF!*O19,IF(P19="","","None"))</f>
        <v>None</v>
      </c>
      <c r="AF19" s="54" t="b">
        <f t="shared" si="0"/>
        <v>1</v>
      </c>
      <c r="AG19" s="54" t="b">
        <f t="shared" si="1"/>
        <v>0</v>
      </c>
      <c r="AH19" s="54" t="e">
        <f>IF(I19="","",IF(#REF!&gt;0,TRUE,FALSE))</f>
        <v>#REF!</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27.6">
      <c r="A20" s="47" t="str">
        <f>IFERROR(INDEX('G-1 All Habitats'!$AG$3:$AG$15,MATCH(E20,'G-1 All Habitats'!$AF$3:$AF$15,0)),"")</f>
        <v>Urban</v>
      </c>
      <c r="B20" s="47" t="str">
        <f>IFERROR(INDEX('G-8 Condition Look up'!$I$4:$I$130,MATCH(G20,'G-8 Condition Look up'!$A$4:$A$130,0)),"")</f>
        <v>Cond2</v>
      </c>
      <c r="D20" s="77">
        <v>10</v>
      </c>
      <c r="E20" s="78" t="s">
        <v>76</v>
      </c>
      <c r="F20" s="79" t="s">
        <v>247</v>
      </c>
      <c r="G20" s="69" t="str">
        <f>IFERROR(INDEX('G-1 All Habitats'!$B$3:$B$129,MATCH(F20,'G-1 All Habitats'!$A$3:$A$129,0)),"")</f>
        <v>Urban - Developed land; sealed surface</v>
      </c>
      <c r="H20" s="70">
        <v>0.04</v>
      </c>
      <c r="I20" s="497" t="str">
        <f>IF(G20="","",VLOOKUP(G20,'G-1 All Habitats'!$B$2:$M$129,10,FALSE))</f>
        <v>V.Low</v>
      </c>
      <c r="J20" s="498">
        <f>IFERROR(VLOOKUP(I20,'G-1 All Habitats'!$V$3:$W$7,2,FALSE),"")</f>
        <v>0</v>
      </c>
      <c r="K20" s="71" t="s">
        <v>248</v>
      </c>
      <c r="L20" s="498">
        <f>IFERROR(INDEX('G-8 Condition Look up'!$A$3:$H$130,MATCH(G20,'G-8 Condition Look up'!$A$3:$A$130,0),MATCH(K20,'G-8 Condition Look up'!$A$3:$H$3,0)),"")</f>
        <v>0</v>
      </c>
      <c r="M20" s="71" t="s">
        <v>232</v>
      </c>
      <c r="N20" s="519" t="str">
        <f>IF(M20="","",IF(VLOOKUP(M20,'G-3 Multipliers'!$L$3:$N$6,2,FALSE)=0,"Spatial Data Missing",VLOOKUP(M20,'G-3 Multipliers'!$L$3:$N$6,2,FALSE)))</f>
        <v>Low Strategic Significance</v>
      </c>
      <c r="O20" s="504">
        <f>IF(M20="","",IF(VLOOKUP(M20,'G-3 Multipliers'!$L$3:$N$6,3,FALSE)=0,"Spatial Data Missing ▲",VLOOKUP(M20,'G-3 Multipliers'!$L$3:$N$6,3,FALSE)))</f>
        <v>1</v>
      </c>
      <c r="P20" s="505" t="str">
        <f>IFERROR(VLOOKUP(G20,'G-1 All Habitats'!$B$2:$M$129,12,FALSE),"")</f>
        <v>Compensation Not Required</v>
      </c>
      <c r="Q20" s="512">
        <f>IFERROR(IF(P20="","",IF(AND(P20='G-1 All Habitats'!$X$3,T20&gt;0),U20+V20,IF(AND(P20='G-1 All Habitats'!$X$3,S20&gt;0),U20+V20,IF(AND(P20='G-1 All Habitats'!$X$3,AC20&gt;0),"Any Loss Unacceptable ▲",IF(AND(P20='G-1 All Habitats'!$X$3,W20&gt;0),"Any Loss Unacceptable ▲",H20*J20*L20*O20))))),"Check Data ▲")</f>
        <v>0</v>
      </c>
      <c r="R20" s="50"/>
      <c r="S20" s="71">
        <v>0</v>
      </c>
      <c r="T20" s="72">
        <v>0</v>
      </c>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0.04</v>
      </c>
      <c r="X20" s="514">
        <f>IFERROR(IF(H20="","",IF(H20-S20-T20=0&lt;0,"Error in Areas ▲",IF(S20+T20&gt;H20,"Error in Areas ▲",IF(AND(P20='G-1 All Habitats'!$X$3,Y20="Yes"),"Alternative Compensation ✓",IF(W20=0,0,IF(P20='G-1 All Habitats'!$X$3,"Unacceptable Loss ▲",Q20-U20-V20)))))),"Check Data ▲")</f>
        <v>0</v>
      </c>
      <c r="Y20" s="72"/>
      <c r="Z20" s="80" t="s">
        <v>249</v>
      </c>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ht="41.45">
      <c r="A21" s="47" t="str">
        <f>IFERROR(INDEX('G-1 All Habitats'!$AG$3:$AG$15,MATCH(E21,'G-1 All Habitats'!$AF$3:$AF$15,0)),"")</f>
        <v>Urban</v>
      </c>
      <c r="B21" s="47" t="str">
        <f>IFERROR(INDEX('G-8 Condition Look up'!$I$4:$I$130,MATCH(G21,'G-8 Condition Look up'!$A$4:$A$130,0)),"")</f>
        <v>Cond4</v>
      </c>
      <c r="D21" s="77">
        <v>11</v>
      </c>
      <c r="E21" s="78" t="s">
        <v>76</v>
      </c>
      <c r="F21" s="79" t="s">
        <v>250</v>
      </c>
      <c r="G21" s="69" t="str">
        <f>IFERROR(INDEX('G-1 All Habitats'!$B$3:$B$129,MATCH(F21,'G-1 All Habitats'!$A$3:$A$129,0)),"")</f>
        <v>Urban - Urban Tree</v>
      </c>
      <c r="H21" s="70">
        <v>0.3821</v>
      </c>
      <c r="I21" s="497" t="str">
        <f>IF(G21="","",VLOOKUP(G21,'G-1 All Habitats'!$B$2:$M$129,10,FALSE))</f>
        <v>Medium</v>
      </c>
      <c r="J21" s="498">
        <f>IFERROR(VLOOKUP(I21,'G-1 All Habitats'!$V$3:$W$7,2,FALSE),"")</f>
        <v>4</v>
      </c>
      <c r="K21" s="71" t="s">
        <v>23</v>
      </c>
      <c r="L21" s="498">
        <f>IFERROR(INDEX('G-8 Condition Look up'!$A$3:$H$130,MATCH(G21,'G-8 Condition Look up'!$A$3:$A$130,0),MATCH(K21,'G-8 Condition Look up'!$A$3:$H$3,0)),"")</f>
        <v>3</v>
      </c>
      <c r="M21" s="71" t="s">
        <v>227</v>
      </c>
      <c r="N21" s="519" t="str">
        <f>IF(M21="","",IF(VLOOKUP(M21,'G-3 Multipliers'!$L$3:$N$6,2,FALSE)=0,"Spatial Data Missing",VLOOKUP(M21,'G-3 Multipliers'!$L$3:$N$6,2,FALSE)))</f>
        <v xml:space="preserve">Medium strategic significance </v>
      </c>
      <c r="O21" s="504">
        <f>IF(M21="","",IF(VLOOKUP(M21,'G-3 Multipliers'!$L$3:$N$6,3,FALSE)=0,"Spatial Data Missing ▲",VLOOKUP(M21,'G-3 Multipliers'!$L$3:$N$6,3,FALSE)))</f>
        <v>1.1000000000000001</v>
      </c>
      <c r="P21" s="505" t="str">
        <f>IFERROR(VLOOKUP(G21,'G-1 All Habitats'!$B$2:$M$129,12,FALSE),"")</f>
        <v>Same broad habitat or a higher distinctiveness habitat required (≥)</v>
      </c>
      <c r="Q21" s="512">
        <f>IFERROR(IF(P21="","",IF(AND(P21='G-1 All Habitats'!$X$3,T21&gt;0),U21+V21,IF(AND(P21='G-1 All Habitats'!$X$3,S21&gt;0),U21+V21,IF(AND(P21='G-1 All Habitats'!$X$3,AC21&gt;0),"Any Loss Unacceptable ▲",IF(AND(P21='G-1 All Habitats'!$X$3,W21&gt;0),"Any Loss Unacceptable ▲",H21*J21*L21*O21))))),"Check Data ▲")</f>
        <v>5.0437200000000004</v>
      </c>
      <c r="R21" s="50"/>
      <c r="S21" s="71">
        <v>7.6399999999999996E-2</v>
      </c>
      <c r="T21" s="72">
        <v>0</v>
      </c>
      <c r="U21" s="510">
        <f t="shared" si="3"/>
        <v>1.00848</v>
      </c>
      <c r="V21" s="510">
        <f t="shared" si="4"/>
        <v>0</v>
      </c>
      <c r="W21" s="510">
        <f>IF(E21="","",IF(H21&lt;S21+T21,"Error in Areas ▲",IF(P21&lt;&gt;'G-1 All Habitats'!$X$3,H21-S21-T21,IF(AND(P21='G-1 All Habitats'!$X$3,Y21="Yes"),"Unacceptable Loss",IF(AND(P21='G-1 All Habitats'!$X$3,Y21="No"),AC21,IF(AND(P21='G-1 All Habitats'!$X$3,Y21=""),AC21,IF(AND(P21='G-1 All Habitats'!$X$3,AC21="None",AC21),IF(AND(P21='G-1 All Habitats'!$X$3,AC21&gt;0),H21-S21-T21))))))))</f>
        <v>0.30569999999999997</v>
      </c>
      <c r="X21" s="514">
        <f>IFERROR(IF(H21="","",IF(H21-S21-T21=0&lt;0,"Error in Areas ▲",IF(S21+T21&gt;H21,"Error in Areas ▲",IF(AND(P21='G-1 All Habitats'!$X$3,Y21="Yes"),"Alternative Compensation ✓",IF(W21=0,0,IF(P21='G-1 All Habitats'!$X$3,"Unacceptable Loss ▲",Q21-U21-V21)))))),"Check Data ▲")</f>
        <v>4.0352399999999999</v>
      </c>
      <c r="Y21" s="72"/>
      <c r="Z21" s="80" t="s">
        <v>251</v>
      </c>
      <c r="AA21" s="81"/>
      <c r="AC21" s="75" t="str">
        <f>IF(P21="","",IF(P21='G-1 All Habitats'!$X$3,H21-S21-T21,"None"))</f>
        <v>None</v>
      </c>
      <c r="AD21" s="76" t="str">
        <f>IFERROR(AC21*J21*L21*#REF!*O21,IF(P21="","","None"))</f>
        <v>None</v>
      </c>
      <c r="AF21" s="54" t="b">
        <f t="shared" si="0"/>
        <v>1</v>
      </c>
      <c r="AG21" s="54" t="b">
        <f t="shared" si="1"/>
        <v>0</v>
      </c>
      <c r="AH21" s="54" t="e">
        <f>IF(I21="","",IF(#REF!&gt;0,TRUE,FALSE))</f>
        <v>#REF!</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ht="41.45">
      <c r="A22" s="47" t="str">
        <f>IFERROR(INDEX('G-1 All Habitats'!$AG$3:$AG$15,MATCH(E22,'G-1 All Habitats'!$AF$3:$AF$15,0)),"")</f>
        <v>Urban</v>
      </c>
      <c r="B22" s="47" t="str">
        <f>IFERROR(INDEX('G-8 Condition Look up'!$I$4:$I$130,MATCH(G22,'G-8 Condition Look up'!$A$4:$A$130,0)),"")</f>
        <v>Cond4</v>
      </c>
      <c r="D22" s="77">
        <v>12</v>
      </c>
      <c r="E22" s="78" t="s">
        <v>76</v>
      </c>
      <c r="F22" s="79" t="s">
        <v>250</v>
      </c>
      <c r="G22" s="69" t="str">
        <f>IFERROR(INDEX('G-1 All Habitats'!$B$3:$B$129,MATCH(F22,'G-1 All Habitats'!$A$3:$A$129,0)),"")</f>
        <v>Urban - Urban Tree</v>
      </c>
      <c r="H22" s="70">
        <v>0.4395</v>
      </c>
      <c r="I22" s="497" t="str">
        <f>IF(G22="","",VLOOKUP(G22,'G-1 All Habitats'!$B$2:$M$129,10,FALSE))</f>
        <v>Medium</v>
      </c>
      <c r="J22" s="498">
        <f>IFERROR(VLOOKUP(I22,'G-1 All Habitats'!$V$3:$W$7,2,FALSE),"")</f>
        <v>4</v>
      </c>
      <c r="K22" s="71" t="s">
        <v>22</v>
      </c>
      <c r="L22" s="498">
        <f>IFERROR(INDEX('G-8 Condition Look up'!$A$3:$H$130,MATCH(G22,'G-8 Condition Look up'!$A$3:$A$130,0),MATCH(K22,'G-8 Condition Look up'!$A$3:$H$3,0)),"")</f>
        <v>2</v>
      </c>
      <c r="M22" s="71" t="s">
        <v>227</v>
      </c>
      <c r="N22" s="519" t="str">
        <f>IF(M22="","",IF(VLOOKUP(M22,'G-3 Multipliers'!$L$3:$N$6,2,FALSE)=0,"Spatial Data Missing",VLOOKUP(M22,'G-3 Multipliers'!$L$3:$N$6,2,FALSE)))</f>
        <v xml:space="preserve">Medium strategic significance </v>
      </c>
      <c r="O22" s="504">
        <f>IF(M22="","",IF(VLOOKUP(M22,'G-3 Multipliers'!$L$3:$N$6,3,FALSE)=0,"Spatial Data Missing ▲",VLOOKUP(M22,'G-3 Multipliers'!$L$3:$N$6,3,FALSE)))</f>
        <v>1.1000000000000001</v>
      </c>
      <c r="P22" s="505" t="str">
        <f>IFERROR(VLOOKUP(G22,'G-1 All Habitats'!$B$2:$M$129,12,FALSE),"")</f>
        <v>Same broad habitat or a higher distinctiveness habitat required (≥)</v>
      </c>
      <c r="Q22" s="512">
        <f>IFERROR(IF(P22="","",IF(AND(P22='G-1 All Habitats'!$X$3,T22&gt;0),U22+V22,IF(AND(P22='G-1 All Habitats'!$X$3,S22&gt;0),U22+V22,IF(AND(P22='G-1 All Habitats'!$X$3,AC22&gt;0),"Any Loss Unacceptable ▲",IF(AND(P22='G-1 All Habitats'!$X$3,W22&gt;0),"Any Loss Unacceptable ▲",H22*J22*L22*O22))))),"Check Data ▲")</f>
        <v>3.8676000000000004</v>
      </c>
      <c r="R22" s="50"/>
      <c r="S22" s="71">
        <v>0.4395</v>
      </c>
      <c r="T22" s="72">
        <v>0</v>
      </c>
      <c r="U22" s="510">
        <f t="shared" si="3"/>
        <v>3.8676000000000004</v>
      </c>
      <c r="V22" s="510">
        <f t="shared" si="4"/>
        <v>0</v>
      </c>
      <c r="W22" s="510">
        <f>IF(E22="","",IF(H22&lt;S22+T22,"Error in Areas ▲",IF(P22&lt;&gt;'G-1 All Habitats'!$X$3,H22-S22-T22,IF(AND(P22='G-1 All Habitats'!$X$3,Y22="Yes"),"Unacceptable Loss",IF(AND(P22='G-1 All Habitats'!$X$3,Y22="No"),AC22,IF(AND(P22='G-1 All Habitats'!$X$3,Y22=""),AC22,IF(AND(P22='G-1 All Habitats'!$X$3,AC22="None",AC22),IF(AND(P22='G-1 All Habitats'!$X$3,AC22&gt;0),H22-S22-T22))))))))</f>
        <v>0</v>
      </c>
      <c r="X22" s="514">
        <f>IFERROR(IF(H22="","",IF(H22-S22-T22=0&lt;0,"Error in Areas ▲",IF(S22+T22&gt;H22,"Error in Areas ▲",IF(AND(P22='G-1 All Habitats'!$X$3,Y22="Yes"),"Alternative Compensation ✓",IF(W22=0,0,IF(P22='G-1 All Habitats'!$X$3,"Unacceptable Loss ▲",Q22-U22-V22)))))),"Check Data ▲")</f>
        <v>0</v>
      </c>
      <c r="Y22" s="72"/>
      <c r="Z22" s="80" t="s">
        <v>252</v>
      </c>
      <c r="AA22" s="81"/>
      <c r="AC22" s="75" t="str">
        <f>IF(P22="","",IF(P22='G-1 All Habitats'!$X$3,H22-S22-T22,"None"))</f>
        <v>None</v>
      </c>
      <c r="AD22" s="76" t="str">
        <f>IFERROR(AC22*J22*L22*#REF!*O22,IF(P22="","","None"))</f>
        <v>None</v>
      </c>
      <c r="AF22" s="54" t="b">
        <f t="shared" si="0"/>
        <v>1</v>
      </c>
      <c r="AG22" s="54" t="b">
        <f t="shared" si="1"/>
        <v>0</v>
      </c>
      <c r="AH22" s="54" t="e">
        <f>IF(I22="","",IF(#REF!&gt;0,TRUE,FALSE))</f>
        <v>#REF!</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45" thickBot="1">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45" thickBot="1">
      <c r="F259" s="501" t="s">
        <v>253</v>
      </c>
      <c r="H259" s="502">
        <f>SUM(H9:H256)</f>
        <v>46.851600000000005</v>
      </c>
      <c r="N259" s="50"/>
      <c r="P259" s="444"/>
      <c r="Q259" s="513">
        <f>IF('Detailed Results'!$K$40&gt;0,"Error",SUM(Q11:Q258))</f>
        <v>115.93331999999999</v>
      </c>
      <c r="R259" s="85"/>
      <c r="S259" s="516">
        <f>IF('Detailed Results'!$K$40&gt;0,"Error",SUM(S11:S258))</f>
        <v>8.7129000000000012</v>
      </c>
      <c r="T259" s="517">
        <f>IF('Detailed Results'!$K$40&gt;0,"Error",SUM(T11:T258))</f>
        <v>1.22</v>
      </c>
      <c r="U259" s="517">
        <f>IF('Detailed Results'!$K$40&gt;0,"Error",SUM(U11:U258))</f>
        <v>21.668479999999999</v>
      </c>
      <c r="V259" s="517">
        <f>IF('Detailed Results'!$K$40&gt;0,"Error",SUM(V11:V258))</f>
        <v>11.154000000000002</v>
      </c>
      <c r="W259" s="517">
        <f>IF('Detailed Results'!$K$40&gt;0,"Error",SUM(W11:W258))</f>
        <v>36.918700000000001</v>
      </c>
      <c r="X259" s="513">
        <f>IF('Detailed Results'!$K$40&gt;0,"Error",SUM(X11:X258))</f>
        <v>83.11084000000001</v>
      </c>
      <c r="AQ259" s="55">
        <f>SUM(AQ11:AQ258)</f>
        <v>0</v>
      </c>
    </row>
    <row r="260" spans="1:43" ht="28.5" customHeight="1" thickBot="1">
      <c r="F260" s="457"/>
      <c r="P260" s="48"/>
      <c r="Y260" s="86"/>
    </row>
    <row r="261" spans="1:43" ht="38.25" customHeight="1" thickBot="1">
      <c r="D261" s="48"/>
      <c r="E261" s="48"/>
      <c r="F261" s="48"/>
      <c r="G261" s="48"/>
      <c r="H261" s="48"/>
      <c r="S261" s="887" t="s">
        <v>254</v>
      </c>
      <c r="T261" s="888"/>
      <c r="U261" s="888"/>
      <c r="V261" s="889"/>
      <c r="W261" s="502">
        <f>IF('Detailed Results'!$K$40&gt;0,"Error",SUMIFS($W$11:$W$258,$G$11:$G$258,"&lt;&gt;"&amp;'G-1 All Habitats'!B65,$G$11:$G$258,"&lt;&gt;"&amp;'G-1 All Habitats'!B66,$G$11:$G$258,"&lt;&gt;"&amp;'G-1 All Habitats'!B73))</f>
        <v>36.613</v>
      </c>
    </row>
    <row r="262" spans="1:43">
      <c r="D262" s="48"/>
      <c r="E262" s="48"/>
    </row>
    <row r="263" spans="1:43">
      <c r="D263" s="48"/>
      <c r="E263" s="48"/>
      <c r="F263" s="48"/>
      <c r="G263" s="48"/>
      <c r="H263" s="48"/>
      <c r="I263" s="48"/>
      <c r="J263" s="48"/>
      <c r="K263" s="48"/>
      <c r="L263" s="48"/>
      <c r="M263" s="48"/>
      <c r="N263" s="48"/>
      <c r="O263" s="48"/>
    </row>
    <row r="264" spans="1:43">
      <c r="D264" s="48"/>
      <c r="E264" s="48"/>
      <c r="F264" s="48"/>
      <c r="G264" s="48"/>
      <c r="H264" s="48"/>
      <c r="I264" s="48"/>
      <c r="J264" s="48"/>
      <c r="K264" s="48"/>
      <c r="L264" s="48"/>
      <c r="M264" s="48"/>
      <c r="N264" s="48"/>
      <c r="O264" s="48"/>
    </row>
    <row r="265" spans="1:43">
      <c r="D265" s="48"/>
      <c r="E265" s="48"/>
      <c r="F265" s="48"/>
      <c r="G265" s="48"/>
      <c r="H265" s="48"/>
      <c r="I265" s="48"/>
      <c r="J265" s="48"/>
      <c r="K265" s="48"/>
      <c r="L265" s="48"/>
      <c r="M265" s="48"/>
      <c r="N265" s="48"/>
      <c r="O265" s="48"/>
    </row>
    <row r="27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f563e7-6d32-4ab8-8c41-b2e97dd41dd8">
      <Terms xmlns="http://schemas.microsoft.com/office/infopath/2007/PartnerControls"/>
    </lcf76f155ced4ddcb4097134ff3c332f>
    <TaxCatchAll xmlns="5a629506-3b78-4757-b598-5b76bfbc86f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D00B9C5177F4C94E8E97BB7498B12" ma:contentTypeVersion="14" ma:contentTypeDescription="Create a new document." ma:contentTypeScope="" ma:versionID="80e0524c744ad5bc4267e1f8e756d57c">
  <xsd:schema xmlns:xsd="http://www.w3.org/2001/XMLSchema" xmlns:xs="http://www.w3.org/2001/XMLSchema" xmlns:p="http://schemas.microsoft.com/office/2006/metadata/properties" xmlns:ns2="3ff563e7-6d32-4ab8-8c41-b2e97dd41dd8" xmlns:ns3="5a629506-3b78-4757-b598-5b76bfbc86fc" targetNamespace="http://schemas.microsoft.com/office/2006/metadata/properties" ma:root="true" ma:fieldsID="6a586ebc075a5fd11e25339a1391d685" ns2:_="" ns3:_="">
    <xsd:import namespace="3ff563e7-6d32-4ab8-8c41-b2e97dd41dd8"/>
    <xsd:import namespace="5a629506-3b78-4757-b598-5b76bfbc86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f563e7-6d32-4ab8-8c41-b2e97dd41d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1f23c05-f7ce-4e19-99f5-7c614a76f9e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a629506-3b78-4757-b598-5b76bfbc86f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c8a2099-9983-49a2-9e22-7551dea2c930}" ma:internalName="TaxCatchAll" ma:showField="CatchAllData" ma:web="5a629506-3b78-4757-b598-5b76bfbc86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D8E80E-3650-4921-9D0F-F779F71661B1}"/>
</file>

<file path=customXml/itemProps2.xml><?xml version="1.0" encoding="utf-8"?>
<ds:datastoreItem xmlns:ds="http://schemas.openxmlformats.org/officeDocument/2006/customXml" ds:itemID="{58239782-4E07-4B04-8FC6-10B477E7F061}"/>
</file>

<file path=customXml/itemProps3.xml><?xml version="1.0" encoding="utf-8"?>
<ds:datastoreItem xmlns:ds="http://schemas.openxmlformats.org/officeDocument/2006/customXml" ds:itemID="{B5C9822E-1470-4856-B250-34192C4A58B3}"/>
</file>

<file path=docProps/app.xml><?xml version="1.0" encoding="utf-8"?>
<Properties xmlns="http://schemas.openxmlformats.org/officeDocument/2006/extended-properties" xmlns:vt="http://schemas.openxmlformats.org/officeDocument/2006/docPropsVTypes">
  <Application>Microsoft Excel Online</Application>
  <Manager/>
  <Company>Defra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Justine Walsh</cp:lastModifiedBy>
  <cp:revision/>
  <dcterms:created xsi:type="dcterms:W3CDTF">2018-04-09T09:41:18Z</dcterms:created>
  <dcterms:modified xsi:type="dcterms:W3CDTF">2023-02-16T13:28:26Z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